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0" windowWidth="28800" windowHeight="13020"/>
  </bookViews>
  <sheets>
    <sheet name="Акты" sheetId="5" r:id="rId1"/>
  </sheets>
  <externalReferences>
    <externalReference r:id="rId2"/>
  </externalReferences>
  <definedNames>
    <definedName name="_xlnm._FilterDatabase" localSheetId="0" hidden="1">Акты!#REF!</definedName>
    <definedName name="данет">'[1]Анализ деятельности РО'!$G$5:$H$5</definedName>
    <definedName name="_xlnm.Print_Area" localSheetId="0">Акты!$A$1:$M$117</definedName>
  </definedNames>
  <calcPr calcId="144525"/>
</workbook>
</file>

<file path=xl/calcChain.xml><?xml version="1.0" encoding="utf-8"?>
<calcChain xmlns="http://schemas.openxmlformats.org/spreadsheetml/2006/main">
  <c r="H117" i="5" l="1"/>
  <c r="G117" i="5"/>
  <c r="F117" i="5"/>
  <c r="E117" i="5"/>
  <c r="H97" i="5" l="1"/>
  <c r="G97" i="5"/>
  <c r="E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5" i="5"/>
  <c r="F24" i="5"/>
  <c r="F23" i="5"/>
  <c r="F21" i="5"/>
  <c r="F20" i="5"/>
  <c r="F19" i="5"/>
  <c r="F18" i="5"/>
  <c r="F17" i="5"/>
  <c r="F16" i="5"/>
  <c r="F15" i="5"/>
  <c r="F14" i="5"/>
  <c r="F97" i="5" l="1"/>
  <c r="G116" i="5"/>
  <c r="H116" i="5" l="1"/>
  <c r="F116" i="5"/>
  <c r="E116" i="5"/>
</calcChain>
</file>

<file path=xl/sharedStrings.xml><?xml version="1.0" encoding="utf-8"?>
<sst xmlns="http://schemas.openxmlformats.org/spreadsheetml/2006/main" count="122" uniqueCount="119">
  <si>
    <t>№</t>
  </si>
  <si>
    <t>Адрес аварийного МКД (населенный пункт, улица, № дома)</t>
  </si>
  <si>
    <t xml:space="preserve">г. Печора, ул. Пристанционная, д.2 </t>
  </si>
  <si>
    <t>г. Печора, п. Озёрный, ул. Терешковой, д. 5</t>
  </si>
  <si>
    <t>г. Печора, ул. Московская, д. 7</t>
  </si>
  <si>
    <t>г. Печора, пгт. Изъяю, ул. Вокзальная, д. 30</t>
  </si>
  <si>
    <t>г. Печора, пер. Канинский, д. 7</t>
  </si>
  <si>
    <t>г. Печора, п. Луговой, ул. Озерная, д. 6</t>
  </si>
  <si>
    <t>г. Печора, ул. Н. Островского, д. 20</t>
  </si>
  <si>
    <t>г. Печора, ул. Воркутинская, д. 2г</t>
  </si>
  <si>
    <t>г. Печора, пгт. Кожва, ул. Гагарина, д. 11</t>
  </si>
  <si>
    <t>г. Печора, пгт. Кожва, ул. Советская, д. 9</t>
  </si>
  <si>
    <t>г. Печора, ул. Западная, д. 36</t>
  </si>
  <si>
    <t>г. Печора, ул. 8 Марта, д. 16</t>
  </si>
  <si>
    <t>г. Печора. ул. Стадионная, д. 22</t>
  </si>
  <si>
    <t>г. Печора, ул. Восточная, д. 8</t>
  </si>
  <si>
    <t>г. Печора, ул. Ленина, д. 1</t>
  </si>
  <si>
    <t>г. Печора. п. Луговой, ул. Озерная, д. 16</t>
  </si>
  <si>
    <t>г. Печора, пгт. Кожва, ул. Печорская, д. 10</t>
  </si>
  <si>
    <t>г. Печора, ул. Октябрьская, д. 7</t>
  </si>
  <si>
    <t>г. Печора, пгт. Изъяю, ул. Вокзальная, д. 8</t>
  </si>
  <si>
    <t>г. Печора, пгт. Кожва, ул. Октябрьская, д. 17</t>
  </si>
  <si>
    <t>г. Печора, пгт. Изъяю, ул. Вокзальная, д. 18</t>
  </si>
  <si>
    <t>г. Печора, ул. Восточная, д. 16</t>
  </si>
  <si>
    <t>г. Печора, ул. Первомайская, д. 19</t>
  </si>
  <si>
    <t>г. Печора, ул. Куратова, д. 1</t>
  </si>
  <si>
    <t>г. Печора, ул. Ленинградская, д. 3</t>
  </si>
  <si>
    <t>г. Печора, ул. Октябрьская, д. 2</t>
  </si>
  <si>
    <t>г. Печора, ул. Путейская, д. 1</t>
  </si>
  <si>
    <t>г. Печора, ул. Социалистическая, д. 48а</t>
  </si>
  <si>
    <t>г. Печора, пгт. Кожва, ул. Космонавтов, д. 1</t>
  </si>
  <si>
    <t>г. Печора, ул. Железнодорожная, д. 15</t>
  </si>
  <si>
    <t>г. Печора, ул. Московская, д. 2</t>
  </si>
  <si>
    <t>г. Печора, ул. Пионерская, д. 34</t>
  </si>
  <si>
    <t>г. Печора, ул. Портовая, д. 13</t>
  </si>
  <si>
    <t>г. Печора, ул. Свободы, д. 7</t>
  </si>
  <si>
    <t>г. Печора, ул. Стадионная, д. 57</t>
  </si>
  <si>
    <t>г. Печора, ул. Восточная, д. 12</t>
  </si>
  <si>
    <t>г. Печора, пер. Канинский, д. 2</t>
  </si>
  <si>
    <t>г. Печора, ул. О. Кошевого, д. 10</t>
  </si>
  <si>
    <t>г. Печора, ул. Ленинградская, д. 4А</t>
  </si>
  <si>
    <t>г. Печора, ул. Н. Островского, д. 35Б</t>
  </si>
  <si>
    <t>г. Печора, ул. Стадионная, д. 28</t>
  </si>
  <si>
    <t>г. Печора, пер. Канинский, д. 4</t>
  </si>
  <si>
    <t>г. Печора, ул. Восточная, д. 22</t>
  </si>
  <si>
    <t>г. Печора, Печорский проспект, д. 36</t>
  </si>
  <si>
    <t>г. Печора, ул. Ленина, д. 5А</t>
  </si>
  <si>
    <t>г. Печора, ул. Московская, д. 13</t>
  </si>
  <si>
    <t>г. Печора, ул. Школьная, д. 10</t>
  </si>
  <si>
    <t>г. Печора, ул. Н. Островского, д. 7</t>
  </si>
  <si>
    <t>г. Печора, пер. 1-й Стадионный, д. 1</t>
  </si>
  <si>
    <t>г. Печора, ул. Мехколонна-53, д. 2</t>
  </si>
  <si>
    <t>Планируемая дата сноса МКД</t>
  </si>
  <si>
    <t>2019г</t>
  </si>
  <si>
    <t>Общая площадь  МКД подлежащих сносу, м2</t>
  </si>
  <si>
    <t>г. Печора, ул. Восточная, д. 10</t>
  </si>
  <si>
    <t>г. Печора, ул. Восточная, д. 14</t>
  </si>
  <si>
    <t>г. Печора, ул. Гагарина , д. 33Г</t>
  </si>
  <si>
    <t>202,5</t>
  </si>
  <si>
    <t>Всего 2019г.</t>
  </si>
  <si>
    <t>ИТОГО</t>
  </si>
  <si>
    <t>3</t>
  </si>
  <si>
    <t>Всего</t>
  </si>
  <si>
    <t>Республиканский бюджет РК</t>
  </si>
  <si>
    <t>Бюджет МО МР "Печора"</t>
  </si>
  <si>
    <t>Этап</t>
  </si>
  <si>
    <t>1</t>
  </si>
  <si>
    <t>Стоимость сноса объектов, в т.ч. разработка проектов сноса, рублей</t>
  </si>
  <si>
    <t>г. Печора, пгт. Изъяю, ул. Вокзальная, д. 16</t>
  </si>
  <si>
    <t xml:space="preserve">Перечень аварийных многоквартирных домов,                                                                                                                                                                                                            подлежащих сносу в установленном законом порядке,  в отношении которых завершены мероприятия по расселению граждан в полном объеме
</t>
  </si>
  <si>
    <t>г. Печора, пгт. Кожва, ул. Уральская, д. 13</t>
  </si>
  <si>
    <t xml:space="preserve">г. Печора, пгт. Кожва, ул. Мезенцева, д. 34     </t>
  </si>
  <si>
    <t>г. Печора, пгт. Кожва, пер. Комсомольский, д. 10</t>
  </si>
  <si>
    <t>г. Печора, пгт. Кожва, пер. Комсомольский, д. 13</t>
  </si>
  <si>
    <t>г. Печора, пгт. Кожва, ул. Лесная, д. 46</t>
  </si>
  <si>
    <t>г. Печора, пгт. Кожва, ул. Октябрьская, д. 19</t>
  </si>
  <si>
    <t>г. Печора. пгт. Кожва, ул. Лесная, д. 55</t>
  </si>
  <si>
    <t>г. Печора, пгт. Кожва, ул. Октябрьская, д. 3</t>
  </si>
  <si>
    <t>г. Печора, пгт. Кожва, ул. Советская, д. 21</t>
  </si>
  <si>
    <t>г. Печора, пгт. Кожва, ул. Советская, д. 17</t>
  </si>
  <si>
    <t>г. Печора, пгт. Кожва, ул. Советская, д. 11</t>
  </si>
  <si>
    <t>г. Печора, пгт. Кожва, ул. Октябрьская, д. 28</t>
  </si>
  <si>
    <t>г. Печора, пгт. Кожва, ул. Космонавтов, д. 6</t>
  </si>
  <si>
    <t>г. Печора, пгт. Кожва, ул. Лесная, д. 50</t>
  </si>
  <si>
    <t>г. Печора, ул. Социалистическая, д. 54</t>
  </si>
  <si>
    <t>г. Печора, пгт. Кожва, ул. Лесная, д. 28</t>
  </si>
  <si>
    <t>г. Печора, пгт. Кожва, ул. Лесная, д. 54</t>
  </si>
  <si>
    <t>г. Печора, пгт. Кожва, ул. Октябрьская, д. 13</t>
  </si>
  <si>
    <t>г. Печора, пгт. Кожва, ул. Октябрьская, д. 16</t>
  </si>
  <si>
    <t>г. Печора, пгт. Кожва, ул. Октябрьская, д. 48</t>
  </si>
  <si>
    <t>г. Печора, пгт. Кожва, пер. Торговый, д. 5</t>
  </si>
  <si>
    <t>г. Печора, пгт. Кожва, ул. Уральская, д. 6</t>
  </si>
  <si>
    <t>г. Печора, пгт. Кожва, ул. Октябрьская, д. 56</t>
  </si>
  <si>
    <t>г. Печора, пгт. Кожва, пер. Станционный, д. 2</t>
  </si>
  <si>
    <t>г. Печора, пгт. Кожва, ул. Лесная, д. 53</t>
  </si>
  <si>
    <t>г. Печора, пгт. Кожва, ул. Печорская, д. 8</t>
  </si>
  <si>
    <t>г. Печора, пгт. Кожва, ул. Печорская, д. 21</t>
  </si>
  <si>
    <t>г. Печора, пгт. Кожва, ул. Советская, д. 15</t>
  </si>
  <si>
    <t>г. Печора, пгт. Кожва, ул. Советская, д. 19</t>
  </si>
  <si>
    <t>г. Печора, пгт. Кожва, ул. Октябрьская, д. 49</t>
  </si>
  <si>
    <t>г. Печора, ул. Восточная д. 9</t>
  </si>
  <si>
    <t>г. Печора, пгт. Кожва, ул. Уральская, д. 2</t>
  </si>
  <si>
    <t>г. Печора, ул. Привокзальная д.29</t>
  </si>
  <si>
    <t>г. Печора, Печорский проспект, д. 10</t>
  </si>
  <si>
    <t>г. Печора, пгт. Кожва, ул. Уральская, д. 1</t>
  </si>
  <si>
    <t>100,9</t>
  </si>
  <si>
    <t>Стоимость проекта сноса ,руб</t>
  </si>
  <si>
    <t>Приложение 1                                                                                                                                  к муниципальной адресной программе «Реализация мероприятий по сносу аварийного жилищного фонда на территории муниципального района «Печора», в рамках выполнения муниципальных адресных программ «Переселение граждан из аварийного жилищного фонда на 2013-2018 годы», «Переселение граждан из аварийного жилищного фонда с учетом необходимости развития малоэтажного жилищного строительства на территории муниципального района «Печора» на период 2014-2017 годы»</t>
  </si>
  <si>
    <t>2020 год</t>
  </si>
  <si>
    <t>г. Печора, п. Озёрный, ул. Запрудная, д. 3</t>
  </si>
  <si>
    <t xml:space="preserve">г. Печора, п. Озёрный, ул. Терешковой, д. 5 </t>
  </si>
  <si>
    <t>г. Печора, пгт. Кожва, ул. Октябрьская, д. 12</t>
  </si>
  <si>
    <t>г. Печора, пгт. Кожва, ул. Октябрьская, д. 30</t>
  </si>
  <si>
    <t>г. Печора, ул. Таёжная, д. 3</t>
  </si>
  <si>
    <t>г. Печора, пгт. Кожва, ул. Лесная, д. 48</t>
  </si>
  <si>
    <t>г. Печора, пгт. Кожва,ул. Печорская, д. 22</t>
  </si>
  <si>
    <t>г. Печора, пгт. Кожва, ул. Лесная, д. 32</t>
  </si>
  <si>
    <t>Всего 2020г.</t>
  </si>
  <si>
    <t xml:space="preserve">Приложение 1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                                                      от  26  апреля 2019 г. № 474/1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</si>
</sst>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_₽_-;\-* #,##0.00\ _₽_-;_-* &quot;-&quot;??\ _₽_-;_-@_-"/>
    <numFmt numFmtId="165" formatCode="#,##0.0\ _р_."/>
    <numFmt numFmtId="166" formatCode="#,##0.0"/>
    <numFmt numFmtId="167" formatCode="0.0"/>
    <numFmt numFmtId="168" formatCode="#,##0.00\ &quot;₽&quot;"/>
    <numFmt numFmtId="169" formatCode="#,##0\ &quot;₽&quot;"/>
  </numFmts>
  <fonts count="16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4" fillId="0" borderId="0"/>
    <xf numFmtId="0" fontId="1" fillId="0" borderId="0"/>
    <xf numFmtId="164" fontId="15" fillId="0" borderId="0" applyFont="0" applyFill="0" applyBorder="0" applyAlignment="0" applyProtection="0"/>
  </cellStyleXfs>
  <cellXfs count="240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0" fillId="2" borderId="0" xfId="0" applyFill="1"/>
    <xf numFmtId="0" fontId="6" fillId="0" borderId="0" xfId="0" applyFont="1" applyFill="1" applyBorder="1" applyAlignment="1">
      <alignment horizontal="left" vertical="center"/>
    </xf>
    <xf numFmtId="0" fontId="5" fillId="0" borderId="0" xfId="0" applyFont="1" applyFill="1" applyBorder="1"/>
    <xf numFmtId="165" fontId="10" fillId="0" borderId="4" xfId="0" applyNumberFormat="1" applyFont="1" applyFill="1" applyBorder="1" applyAlignment="1" applyProtection="1">
      <alignment horizontal="center" vertical="center"/>
      <protection locked="0"/>
    </xf>
    <xf numFmtId="165" fontId="10" fillId="0" borderId="1" xfId="0" applyNumberFormat="1" applyFont="1" applyFill="1" applyBorder="1" applyAlignment="1" applyProtection="1">
      <alignment horizontal="center" vertical="center"/>
      <protection locked="0"/>
    </xf>
    <xf numFmtId="166" fontId="10" fillId="0" borderId="11" xfId="0" applyNumberFormat="1" applyFont="1" applyFill="1" applyBorder="1" applyAlignment="1">
      <alignment shrinkToFit="1"/>
    </xf>
    <xf numFmtId="166" fontId="10" fillId="0" borderId="1" xfId="0" applyNumberFormat="1" applyFont="1" applyFill="1" applyBorder="1" applyAlignment="1">
      <alignment shrinkToFit="1"/>
    </xf>
    <xf numFmtId="166" fontId="10" fillId="0" borderId="3" xfId="0" applyNumberFormat="1" applyFont="1" applyFill="1" applyBorder="1" applyAlignment="1">
      <alignment shrinkToFit="1"/>
    </xf>
    <xf numFmtId="0" fontId="10" fillId="0" borderId="1" xfId="0" applyFont="1" applyFill="1" applyBorder="1"/>
    <xf numFmtId="0" fontId="10" fillId="0" borderId="3" xfId="0" applyFont="1" applyFill="1" applyBorder="1"/>
    <xf numFmtId="0" fontId="10" fillId="0" borderId="1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right"/>
    </xf>
    <xf numFmtId="0" fontId="8" fillId="2" borderId="6" xfId="0" applyFont="1" applyFill="1" applyBorder="1" applyAlignment="1">
      <alignment horizontal="center" vertical="center" wrapText="1"/>
    </xf>
    <xf numFmtId="165" fontId="10" fillId="0" borderId="11" xfId="0" applyNumberFormat="1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 applyProtection="1">
      <alignment horizontal="center" vertical="center"/>
      <protection locked="0"/>
    </xf>
    <xf numFmtId="166" fontId="10" fillId="0" borderId="0" xfId="0" applyNumberFormat="1" applyFont="1" applyFill="1" applyBorder="1" applyAlignment="1">
      <alignment shrinkToFit="1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/>
    </xf>
    <xf numFmtId="49" fontId="6" fillId="0" borderId="16" xfId="0" applyNumberFormat="1" applyFont="1" applyFill="1" applyBorder="1" applyAlignment="1">
      <alignment horizontal="center" vertical="top" wrapText="1"/>
    </xf>
    <xf numFmtId="165" fontId="10" fillId="0" borderId="7" xfId="0" applyNumberFormat="1" applyFont="1" applyFill="1" applyBorder="1" applyAlignment="1" applyProtection="1">
      <alignment horizontal="center" vertical="center"/>
      <protection locked="0"/>
    </xf>
    <xf numFmtId="165" fontId="10" fillId="0" borderId="3" xfId="0" applyNumberFormat="1" applyFont="1" applyFill="1" applyBorder="1" applyAlignment="1" applyProtection="1">
      <alignment horizontal="center" vertical="center"/>
      <protection locked="0"/>
    </xf>
    <xf numFmtId="0" fontId="6" fillId="0" borderId="8" xfId="0" applyFont="1" applyFill="1" applyBorder="1" applyAlignment="1">
      <alignment horizontal="right"/>
    </xf>
    <xf numFmtId="165" fontId="10" fillId="0" borderId="20" xfId="0" applyNumberFormat="1" applyFont="1" applyFill="1" applyBorder="1" applyAlignment="1" applyProtection="1">
      <alignment horizontal="center" vertical="center"/>
      <protection locked="0"/>
    </xf>
    <xf numFmtId="0" fontId="10" fillId="0" borderId="11" xfId="0" applyFont="1" applyFill="1" applyBorder="1"/>
    <xf numFmtId="0" fontId="10" fillId="0" borderId="11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right"/>
    </xf>
    <xf numFmtId="0" fontId="10" fillId="0" borderId="4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/>
    </xf>
    <xf numFmtId="0" fontId="10" fillId="0" borderId="20" xfId="0" applyFont="1" applyFill="1" applyBorder="1"/>
    <xf numFmtId="0" fontId="10" fillId="0" borderId="4" xfId="0" applyFont="1" applyFill="1" applyBorder="1"/>
    <xf numFmtId="0" fontId="10" fillId="0" borderId="7" xfId="0" applyFont="1" applyFill="1" applyBorder="1"/>
    <xf numFmtId="0" fontId="10" fillId="0" borderId="22" xfId="0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right"/>
    </xf>
    <xf numFmtId="0" fontId="6" fillId="0" borderId="21" xfId="0" applyFont="1" applyFill="1" applyBorder="1" applyAlignment="1">
      <alignment horizontal="right"/>
    </xf>
    <xf numFmtId="0" fontId="6" fillId="0" borderId="23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right"/>
    </xf>
    <xf numFmtId="0" fontId="6" fillId="0" borderId="3" xfId="0" applyFont="1" applyFill="1" applyBorder="1" applyAlignment="1">
      <alignment horizontal="right"/>
    </xf>
    <xf numFmtId="0" fontId="10" fillId="0" borderId="7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/>
    </xf>
    <xf numFmtId="165" fontId="10" fillId="0" borderId="25" xfId="0" applyNumberFormat="1" applyFont="1" applyFill="1" applyBorder="1" applyAlignment="1" applyProtection="1">
      <alignment horizontal="center" vertical="center"/>
      <protection locked="0"/>
    </xf>
    <xf numFmtId="0" fontId="10" fillId="0" borderId="24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165" fontId="10" fillId="0" borderId="26" xfId="0" applyNumberFormat="1" applyFont="1" applyFill="1" applyBorder="1" applyAlignment="1" applyProtection="1">
      <alignment horizontal="center" vertical="center"/>
      <protection locked="0"/>
    </xf>
    <xf numFmtId="165" fontId="10" fillId="0" borderId="24" xfId="0" applyNumberFormat="1" applyFont="1" applyFill="1" applyBorder="1" applyAlignment="1" applyProtection="1">
      <alignment horizontal="center" vertical="center"/>
      <protection locked="0"/>
    </xf>
    <xf numFmtId="165" fontId="10" fillId="0" borderId="10" xfId="0" applyNumberFormat="1" applyFont="1" applyFill="1" applyBorder="1" applyAlignment="1" applyProtection="1">
      <alignment horizontal="center" vertical="center"/>
      <protection locked="0"/>
    </xf>
    <xf numFmtId="166" fontId="10" fillId="0" borderId="20" xfId="0" applyNumberFormat="1" applyFont="1" applyFill="1" applyBorder="1" applyAlignment="1">
      <alignment shrinkToFit="1"/>
    </xf>
    <xf numFmtId="166" fontId="10" fillId="0" borderId="4" xfId="0" applyNumberFormat="1" applyFont="1" applyFill="1" applyBorder="1" applyAlignment="1">
      <alignment shrinkToFit="1"/>
    </xf>
    <xf numFmtId="166" fontId="10" fillId="0" borderId="7" xfId="0" applyNumberFormat="1" applyFont="1" applyFill="1" applyBorder="1" applyAlignment="1">
      <alignment shrinkToFit="1"/>
    </xf>
    <xf numFmtId="0" fontId="6" fillId="0" borderId="11" xfId="0" applyFont="1" applyFill="1" applyBorder="1" applyAlignment="1">
      <alignment horizontal="right"/>
    </xf>
    <xf numFmtId="0" fontId="0" fillId="0" borderId="0" xfId="0" applyFill="1"/>
    <xf numFmtId="0" fontId="10" fillId="5" borderId="3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13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/>
    </xf>
    <xf numFmtId="0" fontId="10" fillId="5" borderId="8" xfId="0" applyFont="1" applyFill="1" applyBorder="1" applyAlignment="1">
      <alignment horizontal="center" vertical="center"/>
    </xf>
    <xf numFmtId="0" fontId="10" fillId="5" borderId="0" xfId="0" applyFont="1" applyFill="1" applyBorder="1" applyAlignment="1">
      <alignment horizontal="center" vertical="center"/>
    </xf>
    <xf numFmtId="0" fontId="6" fillId="5" borderId="13" xfId="0" applyFont="1" applyFill="1" applyBorder="1" applyAlignment="1">
      <alignment horizontal="right"/>
    </xf>
    <xf numFmtId="0" fontId="6" fillId="5" borderId="2" xfId="0" applyFont="1" applyFill="1" applyBorder="1" applyAlignment="1">
      <alignment horizontal="right"/>
    </xf>
    <xf numFmtId="0" fontId="6" fillId="5" borderId="8" xfId="0" applyFont="1" applyFill="1" applyBorder="1" applyAlignment="1">
      <alignment horizontal="right"/>
    </xf>
    <xf numFmtId="0" fontId="6" fillId="5" borderId="0" xfId="0" applyFont="1" applyFill="1" applyBorder="1" applyAlignment="1">
      <alignment horizontal="right"/>
    </xf>
    <xf numFmtId="165" fontId="10" fillId="5" borderId="11" xfId="0" applyNumberFormat="1" applyFont="1" applyFill="1" applyBorder="1" applyAlignment="1" applyProtection="1">
      <alignment horizontal="center" vertical="center"/>
      <protection locked="0"/>
    </xf>
    <xf numFmtId="165" fontId="10" fillId="5" borderId="1" xfId="0" applyNumberFormat="1" applyFont="1" applyFill="1" applyBorder="1" applyAlignment="1" applyProtection="1">
      <alignment horizontal="center" vertical="center"/>
      <protection locked="0"/>
    </xf>
    <xf numFmtId="165" fontId="10" fillId="5" borderId="3" xfId="0" applyNumberFormat="1" applyFont="1" applyFill="1" applyBorder="1" applyAlignment="1" applyProtection="1">
      <alignment horizontal="center" vertical="center"/>
      <protection locked="0"/>
    </xf>
    <xf numFmtId="165" fontId="10" fillId="5" borderId="0" xfId="0" applyNumberFormat="1" applyFont="1" applyFill="1" applyBorder="1" applyAlignment="1" applyProtection="1">
      <alignment horizontal="center" vertical="center"/>
      <protection locked="0"/>
    </xf>
    <xf numFmtId="166" fontId="10" fillId="5" borderId="11" xfId="0" applyNumberFormat="1" applyFont="1" applyFill="1" applyBorder="1" applyAlignment="1">
      <alignment shrinkToFit="1"/>
    </xf>
    <xf numFmtId="166" fontId="10" fillId="5" borderId="1" xfId="0" applyNumberFormat="1" applyFont="1" applyFill="1" applyBorder="1" applyAlignment="1">
      <alignment shrinkToFit="1"/>
    </xf>
    <xf numFmtId="166" fontId="10" fillId="5" borderId="3" xfId="0" applyNumberFormat="1" applyFont="1" applyFill="1" applyBorder="1" applyAlignment="1">
      <alignment shrinkToFit="1"/>
    </xf>
    <xf numFmtId="166" fontId="10" fillId="5" borderId="0" xfId="0" applyNumberFormat="1" applyFont="1" applyFill="1" applyBorder="1" applyAlignment="1">
      <alignment shrinkToFit="1"/>
    </xf>
    <xf numFmtId="0" fontId="10" fillId="5" borderId="11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right"/>
    </xf>
    <xf numFmtId="0" fontId="6" fillId="4" borderId="2" xfId="0" applyFont="1" applyFill="1" applyBorder="1" applyAlignment="1">
      <alignment horizontal="right"/>
    </xf>
    <xf numFmtId="0" fontId="6" fillId="4" borderId="8" xfId="0" applyFont="1" applyFill="1" applyBorder="1" applyAlignment="1">
      <alignment horizontal="right"/>
    </xf>
    <xf numFmtId="0" fontId="6" fillId="4" borderId="0" xfId="0" applyFont="1" applyFill="1" applyBorder="1" applyAlignment="1">
      <alignment horizontal="right"/>
    </xf>
    <xf numFmtId="0" fontId="6" fillId="4" borderId="22" xfId="0" applyFont="1" applyFill="1" applyBorder="1" applyAlignment="1">
      <alignment horizontal="right"/>
    </xf>
    <xf numFmtId="0" fontId="6" fillId="4" borderId="21" xfId="0" applyFont="1" applyFill="1" applyBorder="1" applyAlignment="1">
      <alignment horizontal="right"/>
    </xf>
    <xf numFmtId="0" fontId="6" fillId="4" borderId="23" xfId="0" applyFont="1" applyFill="1" applyBorder="1" applyAlignment="1">
      <alignment horizontal="right"/>
    </xf>
    <xf numFmtId="166" fontId="10" fillId="4" borderId="11" xfId="0" applyNumberFormat="1" applyFont="1" applyFill="1" applyBorder="1" applyAlignment="1">
      <alignment shrinkToFit="1"/>
    </xf>
    <xf numFmtId="166" fontId="10" fillId="4" borderId="1" xfId="0" applyNumberFormat="1" applyFont="1" applyFill="1" applyBorder="1" applyAlignment="1">
      <alignment shrinkToFit="1"/>
    </xf>
    <xf numFmtId="166" fontId="10" fillId="4" borderId="3" xfId="0" applyNumberFormat="1" applyFont="1" applyFill="1" applyBorder="1" applyAlignment="1">
      <alignment shrinkToFit="1"/>
    </xf>
    <xf numFmtId="166" fontId="10" fillId="4" borderId="0" xfId="0" applyNumberFormat="1" applyFont="1" applyFill="1" applyBorder="1" applyAlignment="1">
      <alignment shrinkToFit="1"/>
    </xf>
    <xf numFmtId="168" fontId="0" fillId="0" borderId="0" xfId="0" applyNumberFormat="1" applyFill="1"/>
    <xf numFmtId="169" fontId="0" fillId="0" borderId="1" xfId="0" applyNumberFormat="1" applyFill="1" applyBorder="1" applyAlignment="1">
      <alignment horizontal="center" vertical="center"/>
    </xf>
    <xf numFmtId="169" fontId="13" fillId="0" borderId="1" xfId="0" applyNumberFormat="1" applyFont="1" applyFill="1" applyBorder="1" applyAlignment="1">
      <alignment horizontal="center" vertical="center"/>
    </xf>
    <xf numFmtId="169" fontId="11" fillId="0" borderId="1" xfId="0" applyNumberFormat="1" applyFont="1" applyFill="1" applyBorder="1" applyAlignment="1">
      <alignment horizontal="center" vertical="center"/>
    </xf>
    <xf numFmtId="169" fontId="14" fillId="0" borderId="1" xfId="0" applyNumberFormat="1" applyFont="1" applyFill="1" applyBorder="1" applyAlignment="1">
      <alignment horizontal="center" vertical="center"/>
    </xf>
    <xf numFmtId="169" fontId="11" fillId="0" borderId="1" xfId="0" applyNumberFormat="1" applyFont="1" applyFill="1" applyBorder="1" applyAlignment="1">
      <alignment horizontal="center"/>
    </xf>
    <xf numFmtId="169" fontId="11" fillId="0" borderId="4" xfId="0" applyNumberFormat="1" applyFont="1" applyFill="1" applyBorder="1" applyAlignment="1">
      <alignment horizontal="center"/>
    </xf>
    <xf numFmtId="169" fontId="11" fillId="0" borderId="24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167" fontId="10" fillId="2" borderId="1" xfId="0" applyNumberFormat="1" applyFont="1" applyFill="1" applyBorder="1" applyAlignment="1">
      <alignment horizontal="center" vertical="center"/>
    </xf>
    <xf numFmtId="14" fontId="12" fillId="2" borderId="1" xfId="0" applyNumberFormat="1" applyFont="1" applyFill="1" applyBorder="1" applyAlignment="1">
      <alignment horizontal="center" vertical="center"/>
    </xf>
    <xf numFmtId="167" fontId="5" fillId="2" borderId="1" xfId="0" applyNumberFormat="1" applyFont="1" applyFill="1" applyBorder="1" applyAlignment="1">
      <alignment horizontal="center" vertical="center"/>
    </xf>
    <xf numFmtId="169" fontId="11" fillId="0" borderId="4" xfId="0" applyNumberFormat="1" applyFont="1" applyFill="1" applyBorder="1" applyAlignment="1">
      <alignment horizontal="center" vertical="center"/>
    </xf>
    <xf numFmtId="0" fontId="10" fillId="0" borderId="26" xfId="0" applyFont="1" applyFill="1" applyBorder="1"/>
    <xf numFmtId="0" fontId="10" fillId="0" borderId="24" xfId="0" applyFont="1" applyFill="1" applyBorder="1"/>
    <xf numFmtId="0" fontId="10" fillId="0" borderId="25" xfId="0" applyFont="1" applyFill="1" applyBorder="1"/>
    <xf numFmtId="0" fontId="10" fillId="0" borderId="10" xfId="0" applyFont="1" applyFill="1" applyBorder="1"/>
    <xf numFmtId="0" fontId="6" fillId="2" borderId="19" xfId="0" applyFont="1" applyFill="1" applyBorder="1" applyAlignment="1">
      <alignment horizontal="center" vertical="top" wrapText="1"/>
    </xf>
    <xf numFmtId="49" fontId="6" fillId="0" borderId="19" xfId="0" applyNumberFormat="1" applyFont="1" applyFill="1" applyBorder="1" applyAlignment="1">
      <alignment horizontal="center" vertical="top" wrapText="1"/>
    </xf>
    <xf numFmtId="0" fontId="8" fillId="2" borderId="1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4" fillId="0" borderId="0" xfId="0" applyFont="1"/>
    <xf numFmtId="14" fontId="5" fillId="2" borderId="1" xfId="0" applyNumberFormat="1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14" fontId="12" fillId="2" borderId="24" xfId="0" applyNumberFormat="1" applyFont="1" applyFill="1" applyBorder="1" applyAlignment="1">
      <alignment horizontal="center" vertical="center"/>
    </xf>
    <xf numFmtId="169" fontId="0" fillId="0" borderId="0" xfId="0" applyNumberForma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0" fontId="10" fillId="2" borderId="34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0" fillId="0" borderId="0" xfId="0"/>
    <xf numFmtId="0" fontId="6" fillId="0" borderId="0" xfId="0" applyFont="1" applyFill="1" applyBorder="1" applyAlignment="1">
      <alignment horizontal="left" vertical="center"/>
    </xf>
    <xf numFmtId="167" fontId="5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center" vertical="center" wrapText="1"/>
    </xf>
    <xf numFmtId="167" fontId="10" fillId="0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 applyProtection="1">
      <alignment horizontal="center" vertical="center"/>
      <protection locked="0"/>
    </xf>
    <xf numFmtId="169" fontId="0" fillId="0" borderId="0" xfId="0" applyNumberFormat="1" applyFill="1" applyBorder="1" applyAlignment="1">
      <alignment horizontal="center"/>
    </xf>
    <xf numFmtId="0" fontId="0" fillId="0" borderId="1" xfId="0" applyBorder="1"/>
    <xf numFmtId="4" fontId="10" fillId="2" borderId="1" xfId="0" applyNumberFormat="1" applyFont="1" applyFill="1" applyBorder="1" applyAlignment="1" applyProtection="1">
      <alignment horizontal="center" vertical="center"/>
      <protection locked="0"/>
    </xf>
    <xf numFmtId="167" fontId="10" fillId="0" borderId="2" xfId="0" applyNumberFormat="1" applyFont="1" applyFill="1" applyBorder="1" applyAlignment="1">
      <alignment horizontal="center" vertical="center"/>
    </xf>
    <xf numFmtId="4" fontId="10" fillId="0" borderId="2" xfId="0" applyNumberFormat="1" applyFont="1" applyFill="1" applyBorder="1" applyAlignment="1" applyProtection="1">
      <alignment horizontal="center" vertical="center"/>
      <protection locked="0"/>
    </xf>
    <xf numFmtId="166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10" fillId="0" borderId="1" xfId="4" applyFont="1" applyFill="1" applyBorder="1" applyAlignment="1">
      <alignment vertical="center" wrapText="1"/>
    </xf>
    <xf numFmtId="4" fontId="3" fillId="2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>
      <alignment horizontal="center" vertical="center"/>
    </xf>
    <xf numFmtId="166" fontId="0" fillId="2" borderId="0" xfId="0" applyNumberFormat="1" applyFill="1"/>
    <xf numFmtId="4" fontId="5" fillId="2" borderId="1" xfId="0" applyNumberFormat="1" applyFont="1" applyFill="1" applyBorder="1" applyAlignment="1" applyProtection="1">
      <alignment horizontal="center"/>
      <protection locked="0"/>
    </xf>
    <xf numFmtId="4" fontId="10" fillId="2" borderId="1" xfId="0" applyNumberFormat="1" applyFont="1" applyFill="1" applyBorder="1" applyAlignment="1">
      <alignment horizontal="center" vertical="center" wrapText="1"/>
    </xf>
    <xf numFmtId="4" fontId="10" fillId="2" borderId="28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5" fillId="2" borderId="37" xfId="0" applyFont="1" applyFill="1" applyBorder="1" applyAlignment="1">
      <alignment horizontal="center" vertical="center"/>
    </xf>
    <xf numFmtId="0" fontId="10" fillId="2" borderId="34" xfId="0" applyFont="1" applyFill="1" applyBorder="1" applyAlignment="1">
      <alignment horizontal="left" vertical="center" wrapText="1"/>
    </xf>
    <xf numFmtId="14" fontId="5" fillId="2" borderId="34" xfId="0" applyNumberFormat="1" applyFont="1" applyFill="1" applyBorder="1" applyAlignment="1">
      <alignment horizontal="center" vertical="center"/>
    </xf>
    <xf numFmtId="167" fontId="10" fillId="2" borderId="34" xfId="0" applyNumberFormat="1" applyFont="1" applyFill="1" applyBorder="1" applyAlignment="1">
      <alignment horizontal="center" vertical="center" wrapText="1"/>
    </xf>
    <xf numFmtId="4" fontId="10" fillId="2" borderId="34" xfId="0" applyNumberFormat="1" applyFont="1" applyFill="1" applyBorder="1" applyAlignment="1" applyProtection="1">
      <alignment horizontal="center" vertical="center"/>
      <protection locked="0"/>
    </xf>
    <xf numFmtId="4" fontId="10" fillId="2" borderId="34" xfId="0" applyNumberFormat="1" applyFont="1" applyFill="1" applyBorder="1" applyAlignment="1">
      <alignment horizontal="center" vertical="center" wrapText="1"/>
    </xf>
    <xf numFmtId="4" fontId="10" fillId="2" borderId="38" xfId="0" applyNumberFormat="1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167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center"/>
    </xf>
    <xf numFmtId="167" fontId="12" fillId="2" borderId="1" xfId="0" applyNumberFormat="1" applyFont="1" applyFill="1" applyBorder="1" applyAlignment="1">
      <alignment horizontal="center" vertical="center"/>
    </xf>
    <xf numFmtId="4" fontId="10" fillId="2" borderId="1" xfId="0" applyNumberFormat="1" applyFont="1" applyFill="1" applyBorder="1" applyAlignment="1" applyProtection="1">
      <alignment horizontal="center"/>
      <protection locked="0"/>
    </xf>
    <xf numFmtId="0" fontId="5" fillId="2" borderId="29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left" vertical="center"/>
    </xf>
    <xf numFmtId="0" fontId="5" fillId="2" borderId="24" xfId="0" applyFont="1" applyFill="1" applyBorder="1" applyAlignment="1">
      <alignment horizontal="center" vertical="center"/>
    </xf>
    <xf numFmtId="167" fontId="5" fillId="2" borderId="24" xfId="0" applyNumberFormat="1" applyFont="1" applyFill="1" applyBorder="1" applyAlignment="1">
      <alignment horizontal="center" vertical="center"/>
    </xf>
    <xf numFmtId="4" fontId="5" fillId="2" borderId="24" xfId="0" applyNumberFormat="1" applyFont="1" applyFill="1" applyBorder="1" applyAlignment="1" applyProtection="1">
      <alignment horizontal="center"/>
      <protection locked="0"/>
    </xf>
    <xf numFmtId="4" fontId="10" fillId="2" borderId="24" xfId="0" applyNumberFormat="1" applyFont="1" applyFill="1" applyBorder="1" applyAlignment="1">
      <alignment horizontal="center" vertical="center" wrapText="1"/>
    </xf>
    <xf numFmtId="4" fontId="10" fillId="2" borderId="30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center" vertical="center"/>
    </xf>
    <xf numFmtId="14" fontId="5" fillId="0" borderId="4" xfId="0" applyNumberFormat="1" applyFont="1" applyFill="1" applyBorder="1" applyAlignment="1">
      <alignment horizontal="center" vertical="center"/>
    </xf>
    <xf numFmtId="167" fontId="10" fillId="0" borderId="4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 applyProtection="1">
      <alignment horizontal="center" vertical="center"/>
      <protection locked="0"/>
    </xf>
    <xf numFmtId="164" fontId="10" fillId="0" borderId="4" xfId="4" applyFont="1" applyFill="1" applyBorder="1" applyAlignment="1">
      <alignment vertical="center" wrapText="1"/>
    </xf>
    <xf numFmtId="166" fontId="3" fillId="2" borderId="9" xfId="0" applyNumberFormat="1" applyFont="1" applyFill="1" applyBorder="1" applyAlignment="1" applyProtection="1">
      <alignment horizontal="center" vertical="center"/>
      <protection locked="0"/>
    </xf>
    <xf numFmtId="4" fontId="3" fillId="2" borderId="9" xfId="0" applyNumberFormat="1" applyFont="1" applyFill="1" applyBorder="1" applyAlignment="1" applyProtection="1">
      <alignment horizontal="center" vertical="center"/>
      <protection locked="0"/>
    </xf>
    <xf numFmtId="4" fontId="3" fillId="0" borderId="9" xfId="0" applyNumberFormat="1" applyFont="1" applyFill="1" applyBorder="1" applyAlignment="1" applyProtection="1">
      <alignment horizontal="center" vertical="center"/>
      <protection locked="0"/>
    </xf>
    <xf numFmtId="0" fontId="12" fillId="0" borderId="1" xfId="0" applyFont="1" applyBorder="1" applyAlignment="1">
      <alignment horizontal="center"/>
    </xf>
    <xf numFmtId="164" fontId="10" fillId="0" borderId="4" xfId="4" applyFont="1" applyFill="1" applyBorder="1" applyAlignment="1">
      <alignment horizontal="center" vertical="center" wrapText="1"/>
    </xf>
    <xf numFmtId="164" fontId="10" fillId="0" borderId="1" xfId="4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4" fontId="10" fillId="0" borderId="1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167" fontId="10" fillId="0" borderId="2" xfId="0" applyNumberFormat="1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4" fillId="0" borderId="0" xfId="0" applyFont="1" applyAlignment="1">
      <alignment horizontal="right" vertical="center" wrapTex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right" wrapText="1"/>
    </xf>
    <xf numFmtId="49" fontId="6" fillId="0" borderId="8" xfId="0" applyNumberFormat="1" applyFont="1" applyFill="1" applyBorder="1" applyAlignment="1">
      <alignment horizontal="center" vertical="top" wrapText="1"/>
    </xf>
    <xf numFmtId="0" fontId="0" fillId="0" borderId="31" xfId="0" applyBorder="1" applyAlignment="1">
      <alignment horizontal="center" vertical="top" wrapText="1"/>
    </xf>
    <xf numFmtId="0" fontId="0" fillId="0" borderId="31" xfId="0" applyBorder="1" applyAlignment="1">
      <alignment wrapText="1"/>
    </xf>
    <xf numFmtId="0" fontId="0" fillId="0" borderId="13" xfId="0" applyBorder="1" applyAlignment="1">
      <alignment wrapText="1"/>
    </xf>
    <xf numFmtId="49" fontId="6" fillId="0" borderId="23" xfId="0" applyNumberFormat="1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0" fillId="0" borderId="22" xfId="0" applyBorder="1" applyAlignment="1">
      <alignment wrapText="1"/>
    </xf>
    <xf numFmtId="49" fontId="6" fillId="0" borderId="7" xfId="0" applyNumberFormat="1" applyFont="1" applyFill="1" applyBorder="1" applyAlignment="1">
      <alignment horizontal="center" vertical="top" wrapText="1"/>
    </xf>
    <xf numFmtId="0" fontId="0" fillId="0" borderId="32" xfId="0" applyBorder="1" applyAlignment="1">
      <alignment horizontal="center" vertical="top" wrapText="1"/>
    </xf>
    <xf numFmtId="0" fontId="0" fillId="0" borderId="32" xfId="0" applyBorder="1" applyAlignment="1">
      <alignment wrapText="1"/>
    </xf>
    <xf numFmtId="0" fontId="0" fillId="0" borderId="20" xfId="0" applyBorder="1" applyAlignment="1">
      <alignment wrapText="1"/>
    </xf>
    <xf numFmtId="164" fontId="10" fillId="0" borderId="2" xfId="4" applyFont="1" applyFill="1" applyBorder="1" applyAlignment="1">
      <alignment vertical="center" wrapText="1"/>
    </xf>
    <xf numFmtId="0" fontId="0" fillId="0" borderId="21" xfId="0" applyBorder="1" applyAlignment="1">
      <alignment vertical="center" wrapText="1"/>
    </xf>
    <xf numFmtId="164" fontId="10" fillId="0" borderId="2" xfId="4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9" fillId="0" borderId="1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top" wrapText="1"/>
    </xf>
    <xf numFmtId="0" fontId="6" fillId="2" borderId="18" xfId="0" applyFont="1" applyFill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6" fillId="2" borderId="19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0" fontId="6" fillId="2" borderId="14" xfId="0" applyFont="1" applyFill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3" fillId="6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4" fontId="10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5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4" fontId="5" fillId="2" borderId="2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701_K7\Local%20Settings\Temporary%20Internet%20Files\Content.Outlook\6I9OOZ6V\&#1060;&#1054;&#1056;&#1052;&#1059;&#1051;&#1071;&#1056;%202016%20(version%20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КОНТРОЛЕ"/>
      <sheetName val="Формуляр"/>
      <sheetName val="Количество объектов"/>
      <sheetName val="Качество"/>
      <sheetName val="Реализация этапов"/>
      <sheetName val="Недостоверная отчетность"/>
      <sheetName val="Недобросовестные подрядчики"/>
      <sheetName val="Анализ деятельности РО"/>
      <sheetName val="Комисси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5">
          <cell r="G5" t="str">
            <v>да</v>
          </cell>
          <cell r="H5" t="str">
            <v>нет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theme="3" tint="0.39997558519241921"/>
    <pageSetUpPr fitToPage="1"/>
  </sheetPr>
  <dimension ref="A2:N129"/>
  <sheetViews>
    <sheetView tabSelected="1" view="pageBreakPreview" topLeftCell="A88" zoomScale="90" zoomScaleNormal="90" zoomScaleSheetLayoutView="90" zoomScalePageLayoutView="98" workbookViewId="0">
      <selection activeCell="D115" sqref="D115"/>
    </sheetView>
  </sheetViews>
  <sheetFormatPr defaultRowHeight="18.75" x14ac:dyDescent="0.3"/>
  <cols>
    <col min="1" max="1" width="6.6640625" style="1" customWidth="1"/>
    <col min="2" max="2" width="46.33203125" customWidth="1"/>
    <col min="3" max="3" width="10.44140625" customWidth="1"/>
    <col min="4" max="4" width="12.109375" customWidth="1"/>
    <col min="5" max="5" width="14.109375" customWidth="1"/>
    <col min="6" max="6" width="15.21875" customWidth="1"/>
    <col min="7" max="7" width="16.21875" customWidth="1"/>
    <col min="8" max="8" width="15.109375" customWidth="1"/>
    <col min="9" max="9" width="0.33203125" hidden="1" customWidth="1"/>
    <col min="10" max="10" width="1" hidden="1" customWidth="1"/>
    <col min="11" max="11" width="8.88671875" hidden="1" customWidth="1"/>
    <col min="12" max="12" width="13.109375" hidden="1" customWidth="1"/>
    <col min="13" max="13" width="17.44140625" hidden="1" customWidth="1"/>
    <col min="14" max="14" width="14.6640625" bestFit="1" customWidth="1"/>
  </cols>
  <sheetData>
    <row r="2" spans="1:14" ht="71.25" customHeight="1" x14ac:dyDescent="0.3">
      <c r="F2" s="196" t="s">
        <v>118</v>
      </c>
      <c r="G2" s="196"/>
      <c r="H2" s="196"/>
      <c r="I2" s="196"/>
      <c r="J2" s="196"/>
      <c r="K2" s="196"/>
      <c r="L2" s="196"/>
      <c r="M2" s="196"/>
    </row>
    <row r="3" spans="1:14" ht="12.75" customHeight="1" x14ac:dyDescent="0.3">
      <c r="F3" s="119"/>
      <c r="G3" s="119"/>
      <c r="H3" s="119"/>
      <c r="I3" s="119"/>
      <c r="J3" s="119"/>
      <c r="K3" s="119"/>
      <c r="L3" s="119"/>
      <c r="M3" s="119"/>
    </row>
    <row r="4" spans="1:14" ht="208.5" customHeight="1" x14ac:dyDescent="0.3">
      <c r="F4" s="194" t="s">
        <v>107</v>
      </c>
      <c r="G4" s="195"/>
      <c r="H4" s="195"/>
      <c r="I4" s="195"/>
      <c r="J4" s="195"/>
      <c r="K4" s="195"/>
      <c r="L4" s="195"/>
      <c r="M4" s="195"/>
    </row>
    <row r="7" spans="1:14" ht="41.25" customHeight="1" thickBot="1" x14ac:dyDescent="0.35">
      <c r="A7" s="213" t="s">
        <v>69</v>
      </c>
      <c r="B7" s="213"/>
      <c r="C7" s="213"/>
      <c r="D7" s="213"/>
      <c r="E7" s="213"/>
      <c r="F7" s="214"/>
      <c r="G7" s="214"/>
      <c r="H7" s="214"/>
      <c r="I7" s="214"/>
      <c r="J7" s="214"/>
      <c r="K7" s="214"/>
      <c r="L7" s="214"/>
    </row>
    <row r="8" spans="1:14" ht="19.7" customHeight="1" x14ac:dyDescent="0.3">
      <c r="A8" s="222" t="s">
        <v>0</v>
      </c>
      <c r="B8" s="218" t="s">
        <v>1</v>
      </c>
      <c r="C8" s="218" t="s">
        <v>65</v>
      </c>
      <c r="D8" s="218" t="s">
        <v>52</v>
      </c>
      <c r="E8" s="222" t="s">
        <v>54</v>
      </c>
      <c r="F8" s="197" t="s">
        <v>67</v>
      </c>
      <c r="G8" s="198"/>
      <c r="H8" s="198"/>
      <c r="I8" s="199"/>
      <c r="J8" s="199"/>
      <c r="K8" s="199"/>
      <c r="L8" s="199"/>
      <c r="M8" s="200"/>
    </row>
    <row r="9" spans="1:14" ht="11.25" customHeight="1" x14ac:dyDescent="0.3">
      <c r="A9" s="223"/>
      <c r="B9" s="219"/>
      <c r="C9" s="219"/>
      <c r="D9" s="219"/>
      <c r="E9" s="223"/>
      <c r="F9" s="201"/>
      <c r="G9" s="202"/>
      <c r="H9" s="202"/>
      <c r="I9" s="203"/>
      <c r="J9" s="203"/>
      <c r="K9" s="203"/>
      <c r="L9" s="203"/>
      <c r="M9" s="204"/>
    </row>
    <row r="10" spans="1:14" s="2" customFormat="1" ht="1.5" hidden="1" customHeight="1" thickBot="1" x14ac:dyDescent="0.35">
      <c r="A10" s="223"/>
      <c r="B10" s="219"/>
      <c r="C10" s="219"/>
      <c r="D10" s="219"/>
      <c r="E10" s="223"/>
      <c r="F10" s="201"/>
      <c r="G10" s="202"/>
      <c r="H10" s="202"/>
      <c r="I10" s="203"/>
      <c r="J10" s="203"/>
      <c r="K10" s="203"/>
      <c r="L10" s="203"/>
      <c r="M10" s="204"/>
    </row>
    <row r="11" spans="1:14" s="2" customFormat="1" ht="3" customHeight="1" x14ac:dyDescent="0.3">
      <c r="A11" s="223"/>
      <c r="B11" s="219"/>
      <c r="C11" s="219"/>
      <c r="D11" s="219"/>
      <c r="E11" s="223"/>
      <c r="F11" s="205"/>
      <c r="G11" s="206"/>
      <c r="H11" s="206"/>
      <c r="I11" s="207"/>
      <c r="J11" s="207"/>
      <c r="K11" s="207"/>
      <c r="L11" s="207"/>
      <c r="M11" s="208"/>
    </row>
    <row r="12" spans="1:14" s="2" customFormat="1" ht="32.25" customHeight="1" thickBot="1" x14ac:dyDescent="0.35">
      <c r="A12" s="224"/>
      <c r="B12" s="220"/>
      <c r="C12" s="221"/>
      <c r="D12" s="221"/>
      <c r="E12" s="221"/>
      <c r="F12" s="116" t="s">
        <v>62</v>
      </c>
      <c r="G12" s="115" t="s">
        <v>63</v>
      </c>
      <c r="H12" s="29" t="s">
        <v>64</v>
      </c>
      <c r="I12" s="117"/>
      <c r="J12" s="117"/>
      <c r="K12" s="117"/>
      <c r="L12" s="22"/>
      <c r="M12" s="118" t="s">
        <v>106</v>
      </c>
    </row>
    <row r="13" spans="1:14" s="2" customFormat="1" ht="18" customHeight="1" thickBot="1" x14ac:dyDescent="0.35">
      <c r="A13" s="215" t="s">
        <v>53</v>
      </c>
      <c r="B13" s="216"/>
      <c r="C13" s="216"/>
      <c r="D13" s="216"/>
      <c r="E13" s="216"/>
      <c r="F13" s="216"/>
      <c r="G13" s="216"/>
      <c r="H13" s="217"/>
      <c r="I13" s="20"/>
      <c r="J13" s="20"/>
      <c r="K13" s="20"/>
      <c r="L13" s="22"/>
    </row>
    <row r="14" spans="1:14" s="3" customFormat="1" ht="17.100000000000001" customHeight="1" x14ac:dyDescent="0.3">
      <c r="A14" s="152">
        <v>1</v>
      </c>
      <c r="B14" s="153" t="s">
        <v>50</v>
      </c>
      <c r="C14" s="130">
        <v>1</v>
      </c>
      <c r="D14" s="154">
        <v>43799</v>
      </c>
      <c r="E14" s="155">
        <v>99.8</v>
      </c>
      <c r="F14" s="156">
        <f>153108+6000</f>
        <v>159108</v>
      </c>
      <c r="G14" s="157">
        <v>95464.8</v>
      </c>
      <c r="H14" s="158">
        <v>63643.200000000004</v>
      </c>
      <c r="I14" s="33"/>
      <c r="J14" s="6"/>
      <c r="K14" s="30"/>
      <c r="L14" s="23"/>
      <c r="M14" s="97">
        <v>6000</v>
      </c>
      <c r="N14" s="147"/>
    </row>
    <row r="15" spans="1:14" s="3" customFormat="1" ht="17.100000000000001" customHeight="1" x14ac:dyDescent="0.3">
      <c r="A15" s="159">
        <v>2</v>
      </c>
      <c r="B15" s="160" t="s">
        <v>2</v>
      </c>
      <c r="C15" s="131">
        <v>1</v>
      </c>
      <c r="D15" s="120">
        <v>43830</v>
      </c>
      <c r="E15" s="161">
        <v>244.4</v>
      </c>
      <c r="F15" s="140">
        <f>298000+6000</f>
        <v>304000</v>
      </c>
      <c r="G15" s="149">
        <v>182400</v>
      </c>
      <c r="H15" s="150">
        <v>121600</v>
      </c>
      <c r="I15" s="21">
        <v>0</v>
      </c>
      <c r="J15" s="7">
        <v>0</v>
      </c>
      <c r="K15" s="31">
        <v>0</v>
      </c>
      <c r="L15" s="23"/>
      <c r="M15" s="98">
        <v>6000</v>
      </c>
      <c r="N15" s="147"/>
    </row>
    <row r="16" spans="1:14" s="3" customFormat="1" ht="17.100000000000001" customHeight="1" x14ac:dyDescent="0.3">
      <c r="A16" s="159">
        <v>3</v>
      </c>
      <c r="B16" s="160" t="s">
        <v>4</v>
      </c>
      <c r="C16" s="131">
        <v>1</v>
      </c>
      <c r="D16" s="120">
        <v>43707</v>
      </c>
      <c r="E16" s="161">
        <v>243.9</v>
      </c>
      <c r="F16" s="140">
        <f>243577+6000</f>
        <v>249577</v>
      </c>
      <c r="G16" s="149">
        <v>149746.19999999998</v>
      </c>
      <c r="H16" s="150">
        <v>99830.8</v>
      </c>
      <c r="I16" s="21">
        <v>0</v>
      </c>
      <c r="J16" s="7">
        <v>0</v>
      </c>
      <c r="K16" s="31">
        <v>0</v>
      </c>
      <c r="L16" s="23"/>
      <c r="M16" s="98">
        <v>6000</v>
      </c>
      <c r="N16" s="147"/>
    </row>
    <row r="17" spans="1:14" s="3" customFormat="1" ht="17.100000000000001" customHeight="1" x14ac:dyDescent="0.3">
      <c r="A17" s="159">
        <v>4</v>
      </c>
      <c r="B17" s="162" t="s">
        <v>51</v>
      </c>
      <c r="C17" s="131">
        <v>1</v>
      </c>
      <c r="D17" s="120">
        <v>43738</v>
      </c>
      <c r="E17" s="107">
        <v>325.3</v>
      </c>
      <c r="F17" s="140">
        <f>218900+6000</f>
        <v>224900</v>
      </c>
      <c r="G17" s="149">
        <v>134940</v>
      </c>
      <c r="H17" s="150">
        <v>89960</v>
      </c>
      <c r="I17" s="21">
        <v>0</v>
      </c>
      <c r="J17" s="7">
        <v>0</v>
      </c>
      <c r="K17" s="31">
        <v>0</v>
      </c>
      <c r="L17" s="23"/>
      <c r="M17" s="98">
        <v>6000</v>
      </c>
      <c r="N17" s="147"/>
    </row>
    <row r="18" spans="1:14" s="3" customFormat="1" ht="17.100000000000001" customHeight="1" x14ac:dyDescent="0.3">
      <c r="A18" s="159">
        <v>5</v>
      </c>
      <c r="B18" s="160" t="s">
        <v>102</v>
      </c>
      <c r="C18" s="131">
        <v>1</v>
      </c>
      <c r="D18" s="120">
        <v>43830</v>
      </c>
      <c r="E18" s="161">
        <v>115.2</v>
      </c>
      <c r="F18" s="140">
        <f>184153+6000</f>
        <v>190153</v>
      </c>
      <c r="G18" s="149">
        <v>114091.8</v>
      </c>
      <c r="H18" s="150">
        <v>76061.2</v>
      </c>
      <c r="I18" s="21">
        <v>0</v>
      </c>
      <c r="J18" s="7">
        <v>0</v>
      </c>
      <c r="K18" s="31">
        <v>0</v>
      </c>
      <c r="L18" s="23"/>
      <c r="M18" s="98">
        <v>6000</v>
      </c>
      <c r="N18" s="147"/>
    </row>
    <row r="19" spans="1:14" s="3" customFormat="1" ht="17.100000000000001" customHeight="1" x14ac:dyDescent="0.3">
      <c r="A19" s="159">
        <v>6</v>
      </c>
      <c r="B19" s="160" t="s">
        <v>6</v>
      </c>
      <c r="C19" s="131">
        <v>1</v>
      </c>
      <c r="D19" s="120">
        <v>43707</v>
      </c>
      <c r="E19" s="161">
        <v>101.3</v>
      </c>
      <c r="F19" s="140">
        <f>109240+6000</f>
        <v>115240</v>
      </c>
      <c r="G19" s="149">
        <v>69144</v>
      </c>
      <c r="H19" s="150">
        <v>46096</v>
      </c>
      <c r="I19" s="21">
        <v>0</v>
      </c>
      <c r="J19" s="7">
        <v>0</v>
      </c>
      <c r="K19" s="31">
        <v>0</v>
      </c>
      <c r="L19" s="23"/>
      <c r="M19" s="101">
        <v>6000</v>
      </c>
      <c r="N19" s="147"/>
    </row>
    <row r="20" spans="1:14" ht="17.100000000000001" customHeight="1" x14ac:dyDescent="0.3">
      <c r="A20" s="159">
        <v>7</v>
      </c>
      <c r="B20" s="160" t="s">
        <v>103</v>
      </c>
      <c r="C20" s="131">
        <v>1</v>
      </c>
      <c r="D20" s="120">
        <v>43707</v>
      </c>
      <c r="E20" s="161">
        <v>227.8</v>
      </c>
      <c r="F20" s="140">
        <f>243300+6000</f>
        <v>249300</v>
      </c>
      <c r="G20" s="149">
        <v>149580</v>
      </c>
      <c r="H20" s="150">
        <v>99720</v>
      </c>
      <c r="I20" s="21">
        <v>0</v>
      </c>
      <c r="J20" s="7">
        <v>0</v>
      </c>
      <c r="K20" s="31">
        <v>0</v>
      </c>
      <c r="L20" s="23"/>
      <c r="M20" s="101">
        <v>6000</v>
      </c>
      <c r="N20" s="147"/>
    </row>
    <row r="21" spans="1:14" ht="17.100000000000001" customHeight="1" x14ac:dyDescent="0.3">
      <c r="A21" s="159">
        <v>8</v>
      </c>
      <c r="B21" s="160" t="s">
        <v>5</v>
      </c>
      <c r="C21" s="131" t="s">
        <v>66</v>
      </c>
      <c r="D21" s="121">
        <v>43830</v>
      </c>
      <c r="E21" s="161">
        <v>105.3</v>
      </c>
      <c r="F21" s="140">
        <f>147588+10000</f>
        <v>157588</v>
      </c>
      <c r="G21" s="149">
        <v>94552.8</v>
      </c>
      <c r="H21" s="150">
        <v>63035.200000000004</v>
      </c>
      <c r="I21" s="21"/>
      <c r="J21" s="7"/>
      <c r="K21" s="31"/>
      <c r="L21" s="23"/>
      <c r="M21" s="101">
        <v>6000</v>
      </c>
      <c r="N21" s="147"/>
    </row>
    <row r="22" spans="1:14" ht="17.100000000000001" customHeight="1" x14ac:dyDescent="0.3">
      <c r="A22" s="159">
        <v>9</v>
      </c>
      <c r="B22" s="160" t="s">
        <v>3</v>
      </c>
      <c r="C22" s="131">
        <v>1</v>
      </c>
      <c r="D22" s="120">
        <v>43830</v>
      </c>
      <c r="E22" s="161">
        <v>216.4</v>
      </c>
      <c r="F22" s="140">
        <v>6000</v>
      </c>
      <c r="G22" s="149">
        <v>3600</v>
      </c>
      <c r="H22" s="150">
        <v>2400</v>
      </c>
      <c r="I22" s="76"/>
      <c r="J22" s="77"/>
      <c r="K22" s="78"/>
      <c r="L22" s="79"/>
      <c r="M22" s="101">
        <v>6000</v>
      </c>
      <c r="N22" s="147"/>
    </row>
    <row r="23" spans="1:14" ht="17.100000000000001" customHeight="1" thickBot="1" x14ac:dyDescent="0.35">
      <c r="A23" s="159">
        <v>10</v>
      </c>
      <c r="B23" s="160" t="s">
        <v>99</v>
      </c>
      <c r="C23" s="131">
        <v>1</v>
      </c>
      <c r="D23" s="120">
        <v>43830</v>
      </c>
      <c r="E23" s="161">
        <v>211.2</v>
      </c>
      <c r="F23" s="140">
        <f>233432.31+8000</f>
        <v>241432.31</v>
      </c>
      <c r="G23" s="149">
        <v>144859.386</v>
      </c>
      <c r="H23" s="150">
        <v>96572.923999999999</v>
      </c>
      <c r="I23" s="58"/>
      <c r="J23" s="59"/>
      <c r="K23" s="53"/>
      <c r="L23" s="60"/>
      <c r="M23" s="103">
        <v>8000</v>
      </c>
      <c r="N23" s="147"/>
    </row>
    <row r="24" spans="1:14" ht="17.100000000000001" customHeight="1" x14ac:dyDescent="0.3">
      <c r="A24" s="159">
        <v>11</v>
      </c>
      <c r="B24" s="160" t="s">
        <v>8</v>
      </c>
      <c r="C24" s="131">
        <v>2</v>
      </c>
      <c r="D24" s="120">
        <v>43707</v>
      </c>
      <c r="E24" s="107">
        <v>246</v>
      </c>
      <c r="F24" s="140">
        <f>220290+6000</f>
        <v>226290</v>
      </c>
      <c r="G24" s="149">
        <v>135774</v>
      </c>
      <c r="H24" s="150">
        <v>90516</v>
      </c>
      <c r="I24" s="61"/>
      <c r="J24" s="62"/>
      <c r="K24" s="63"/>
      <c r="L24" s="24"/>
      <c r="M24" s="102">
        <v>6000</v>
      </c>
      <c r="N24" s="147"/>
    </row>
    <row r="25" spans="1:14" ht="17.100000000000001" customHeight="1" x14ac:dyDescent="0.3">
      <c r="A25" s="159">
        <v>12</v>
      </c>
      <c r="B25" s="160" t="s">
        <v>9</v>
      </c>
      <c r="C25" s="131">
        <v>2</v>
      </c>
      <c r="D25" s="120">
        <v>43830</v>
      </c>
      <c r="E25" s="107">
        <v>115.1</v>
      </c>
      <c r="F25" s="140">
        <f>100000+6000</f>
        <v>106000</v>
      </c>
      <c r="G25" s="149">
        <v>63600</v>
      </c>
      <c r="H25" s="150">
        <v>42400</v>
      </c>
      <c r="I25" s="8"/>
      <c r="J25" s="9"/>
      <c r="K25" s="10"/>
      <c r="L25" s="24"/>
      <c r="M25" s="99">
        <v>6000</v>
      </c>
      <c r="N25" s="147"/>
    </row>
    <row r="26" spans="1:14" ht="17.100000000000001" customHeight="1" x14ac:dyDescent="0.3">
      <c r="A26" s="159">
        <v>13</v>
      </c>
      <c r="B26" s="160" t="s">
        <v>12</v>
      </c>
      <c r="C26" s="131">
        <v>2</v>
      </c>
      <c r="D26" s="120">
        <v>43830</v>
      </c>
      <c r="E26" s="107">
        <v>90.2</v>
      </c>
      <c r="F26" s="140">
        <v>6000</v>
      </c>
      <c r="G26" s="149">
        <v>3600</v>
      </c>
      <c r="H26" s="150">
        <v>2400</v>
      </c>
      <c r="I26" s="80"/>
      <c r="J26" s="81"/>
      <c r="K26" s="82"/>
      <c r="L26" s="83"/>
      <c r="M26" s="99">
        <v>6000</v>
      </c>
      <c r="N26" s="147"/>
    </row>
    <row r="27" spans="1:14" ht="17.100000000000001" customHeight="1" x14ac:dyDescent="0.3">
      <c r="A27" s="159">
        <v>14</v>
      </c>
      <c r="B27" s="163" t="s">
        <v>13</v>
      </c>
      <c r="C27" s="164">
        <v>2</v>
      </c>
      <c r="D27" s="120">
        <v>43707</v>
      </c>
      <c r="E27" s="109">
        <v>310.10000000000002</v>
      </c>
      <c r="F27" s="140">
        <f>300013.48+6000</f>
        <v>306013.48</v>
      </c>
      <c r="G27" s="149">
        <v>183608.08799999999</v>
      </c>
      <c r="H27" s="150">
        <v>122405.39199999999</v>
      </c>
      <c r="I27" s="8"/>
      <c r="J27" s="9"/>
      <c r="K27" s="10"/>
      <c r="L27" s="24"/>
      <c r="M27" s="99">
        <v>6000</v>
      </c>
      <c r="N27" s="147"/>
    </row>
    <row r="28" spans="1:14" ht="17.100000000000001" customHeight="1" x14ac:dyDescent="0.3">
      <c r="A28" s="159">
        <v>15</v>
      </c>
      <c r="B28" s="160" t="s">
        <v>14</v>
      </c>
      <c r="C28" s="131">
        <v>2</v>
      </c>
      <c r="D28" s="120">
        <v>43707</v>
      </c>
      <c r="E28" s="107">
        <v>301.60000000000002</v>
      </c>
      <c r="F28" s="140">
        <f>234115+6000</f>
        <v>240115</v>
      </c>
      <c r="G28" s="149">
        <v>144069</v>
      </c>
      <c r="H28" s="150">
        <v>96046</v>
      </c>
      <c r="I28" s="8"/>
      <c r="J28" s="9"/>
      <c r="K28" s="10"/>
      <c r="L28" s="24"/>
      <c r="M28" s="99">
        <v>6000</v>
      </c>
      <c r="N28" s="147"/>
    </row>
    <row r="29" spans="1:14" ht="17.100000000000001" customHeight="1" x14ac:dyDescent="0.3">
      <c r="A29" s="159">
        <v>16</v>
      </c>
      <c r="B29" s="160" t="s">
        <v>15</v>
      </c>
      <c r="C29" s="131">
        <v>2</v>
      </c>
      <c r="D29" s="120">
        <v>43738</v>
      </c>
      <c r="E29" s="107">
        <v>460.8</v>
      </c>
      <c r="F29" s="140">
        <f>250035.62+6000</f>
        <v>256035.62</v>
      </c>
      <c r="G29" s="149">
        <v>153621.372</v>
      </c>
      <c r="H29" s="150">
        <v>102414.24800000001</v>
      </c>
      <c r="I29" s="8"/>
      <c r="J29" s="9"/>
      <c r="K29" s="10"/>
      <c r="L29" s="24"/>
      <c r="M29" s="99">
        <v>6000</v>
      </c>
      <c r="N29" s="147"/>
    </row>
    <row r="30" spans="1:14" ht="17.100000000000001" customHeight="1" x14ac:dyDescent="0.3">
      <c r="A30" s="159">
        <v>17</v>
      </c>
      <c r="B30" s="160" t="s">
        <v>16</v>
      </c>
      <c r="C30" s="131">
        <v>2</v>
      </c>
      <c r="D30" s="120">
        <v>43707</v>
      </c>
      <c r="E30" s="107">
        <v>289.05</v>
      </c>
      <c r="F30" s="140">
        <f>262820.73+6000</f>
        <v>268820.73</v>
      </c>
      <c r="G30" s="149">
        <v>161292.43799999999</v>
      </c>
      <c r="H30" s="150">
        <v>107528.292</v>
      </c>
      <c r="I30" s="8"/>
      <c r="J30" s="9"/>
      <c r="K30" s="10"/>
      <c r="L30" s="24"/>
      <c r="M30" s="99">
        <v>6000</v>
      </c>
      <c r="N30" s="147"/>
    </row>
    <row r="31" spans="1:14" ht="17.100000000000001" customHeight="1" x14ac:dyDescent="0.3">
      <c r="A31" s="159">
        <v>18</v>
      </c>
      <c r="B31" s="160" t="s">
        <v>7</v>
      </c>
      <c r="C31" s="131">
        <v>2</v>
      </c>
      <c r="D31" s="120">
        <v>43738</v>
      </c>
      <c r="E31" s="107">
        <v>111</v>
      </c>
      <c r="F31" s="140">
        <f>95695.12+6000</f>
        <v>101695.12</v>
      </c>
      <c r="G31" s="149">
        <v>61017.071999999993</v>
      </c>
      <c r="H31" s="150">
        <v>40678.048000000003</v>
      </c>
      <c r="I31" s="8"/>
      <c r="J31" s="9"/>
      <c r="K31" s="10"/>
      <c r="L31" s="24"/>
      <c r="M31" s="99">
        <v>6000</v>
      </c>
      <c r="N31" s="147"/>
    </row>
    <row r="32" spans="1:14" ht="17.100000000000001" customHeight="1" x14ac:dyDescent="0.3">
      <c r="A32" s="159">
        <v>19</v>
      </c>
      <c r="B32" s="160" t="s">
        <v>17</v>
      </c>
      <c r="C32" s="131">
        <v>2</v>
      </c>
      <c r="D32" s="120">
        <v>43799</v>
      </c>
      <c r="E32" s="107">
        <v>103.1</v>
      </c>
      <c r="F32" s="140">
        <f>137813.47+10000</f>
        <v>147813.47</v>
      </c>
      <c r="G32" s="149">
        <v>88688.081999999995</v>
      </c>
      <c r="H32" s="150">
        <v>59125.388000000006</v>
      </c>
      <c r="I32" s="8"/>
      <c r="J32" s="9"/>
      <c r="K32" s="10"/>
      <c r="L32" s="24"/>
      <c r="M32" s="101">
        <v>10000</v>
      </c>
      <c r="N32" s="147"/>
    </row>
    <row r="33" spans="1:14" ht="17.100000000000001" customHeight="1" x14ac:dyDescent="0.3">
      <c r="A33" s="159">
        <v>20</v>
      </c>
      <c r="B33" s="160" t="s">
        <v>68</v>
      </c>
      <c r="C33" s="131">
        <v>2</v>
      </c>
      <c r="D33" s="120">
        <v>43795</v>
      </c>
      <c r="E33" s="107">
        <v>206.1</v>
      </c>
      <c r="F33" s="140">
        <f>250000+10000</f>
        <v>260000</v>
      </c>
      <c r="G33" s="149">
        <v>156000</v>
      </c>
      <c r="H33" s="150">
        <v>104000</v>
      </c>
      <c r="I33" s="8"/>
      <c r="J33" s="9"/>
      <c r="K33" s="10"/>
      <c r="L33" s="24"/>
      <c r="M33" s="101">
        <v>10000</v>
      </c>
      <c r="N33" s="147"/>
    </row>
    <row r="34" spans="1:14" ht="17.100000000000001" customHeight="1" x14ac:dyDescent="0.3">
      <c r="A34" s="159">
        <v>21</v>
      </c>
      <c r="B34" s="160" t="s">
        <v>10</v>
      </c>
      <c r="C34" s="131">
        <v>2</v>
      </c>
      <c r="D34" s="120">
        <v>43774</v>
      </c>
      <c r="E34" s="107">
        <v>209.1</v>
      </c>
      <c r="F34" s="140">
        <f>280000+8000</f>
        <v>288000</v>
      </c>
      <c r="G34" s="149">
        <v>172800</v>
      </c>
      <c r="H34" s="150">
        <v>115200</v>
      </c>
      <c r="I34" s="8"/>
      <c r="J34" s="9"/>
      <c r="K34" s="10"/>
      <c r="L34" s="24"/>
      <c r="M34" s="99">
        <v>8000</v>
      </c>
      <c r="N34" s="147"/>
    </row>
    <row r="35" spans="1:14" ht="17.100000000000001" customHeight="1" x14ac:dyDescent="0.3">
      <c r="A35" s="159">
        <v>22</v>
      </c>
      <c r="B35" s="160" t="s">
        <v>11</v>
      </c>
      <c r="C35" s="131">
        <v>2</v>
      </c>
      <c r="D35" s="120">
        <v>43830</v>
      </c>
      <c r="E35" s="107">
        <v>132</v>
      </c>
      <c r="F35" s="140">
        <f>181771+8000</f>
        <v>189771</v>
      </c>
      <c r="G35" s="149">
        <v>113862.59999999999</v>
      </c>
      <c r="H35" s="150">
        <v>75908.400000000009</v>
      </c>
      <c r="I35" s="92"/>
      <c r="J35" s="93"/>
      <c r="K35" s="94"/>
      <c r="L35" s="95"/>
      <c r="M35" s="99">
        <v>8000</v>
      </c>
      <c r="N35" s="147"/>
    </row>
    <row r="36" spans="1:14" ht="17.100000000000001" customHeight="1" x14ac:dyDescent="0.3">
      <c r="A36" s="159">
        <v>23</v>
      </c>
      <c r="B36" s="160" t="s">
        <v>18</v>
      </c>
      <c r="C36" s="131">
        <v>2</v>
      </c>
      <c r="D36" s="120">
        <v>43830</v>
      </c>
      <c r="E36" s="107">
        <v>244.2</v>
      </c>
      <c r="F36" s="140">
        <f>300000+8000</f>
        <v>308000</v>
      </c>
      <c r="G36" s="149">
        <v>184800</v>
      </c>
      <c r="H36" s="150">
        <v>123200</v>
      </c>
      <c r="I36" s="8"/>
      <c r="J36" s="9"/>
      <c r="K36" s="10"/>
      <c r="L36" s="24"/>
      <c r="M36" s="99">
        <v>8000</v>
      </c>
      <c r="N36" s="147"/>
    </row>
    <row r="37" spans="1:14" ht="17.100000000000001" customHeight="1" thickBot="1" x14ac:dyDescent="0.35">
      <c r="A37" s="159">
        <v>24</v>
      </c>
      <c r="B37" s="160" t="s">
        <v>91</v>
      </c>
      <c r="C37" s="131">
        <v>2</v>
      </c>
      <c r="D37" s="120">
        <v>43783</v>
      </c>
      <c r="E37" s="107">
        <v>245</v>
      </c>
      <c r="F37" s="140">
        <f>200000+8000</f>
        <v>208000</v>
      </c>
      <c r="G37" s="149">
        <v>124800</v>
      </c>
      <c r="H37" s="150">
        <v>83200</v>
      </c>
      <c r="I37" s="8"/>
      <c r="J37" s="9"/>
      <c r="K37" s="10"/>
      <c r="L37" s="24"/>
      <c r="M37" s="103">
        <v>8000</v>
      </c>
      <c r="N37" s="147"/>
    </row>
    <row r="38" spans="1:14" ht="17.100000000000001" customHeight="1" x14ac:dyDescent="0.3">
      <c r="A38" s="159">
        <v>25</v>
      </c>
      <c r="B38" s="160" t="s">
        <v>55</v>
      </c>
      <c r="C38" s="131">
        <v>3</v>
      </c>
      <c r="D38" s="120">
        <v>43657</v>
      </c>
      <c r="E38" s="107">
        <v>467.4</v>
      </c>
      <c r="F38" s="140">
        <f>309163+24250</f>
        <v>333413</v>
      </c>
      <c r="G38" s="149">
        <v>200047.8</v>
      </c>
      <c r="H38" s="150">
        <v>133365.20000000001</v>
      </c>
      <c r="I38" s="61"/>
      <c r="J38" s="62"/>
      <c r="K38" s="63"/>
      <c r="L38" s="24"/>
      <c r="M38" s="102">
        <v>24250</v>
      </c>
      <c r="N38" s="147"/>
    </row>
    <row r="39" spans="1:14" ht="17.100000000000001" customHeight="1" x14ac:dyDescent="0.3">
      <c r="A39" s="159">
        <v>26</v>
      </c>
      <c r="B39" s="160" t="s">
        <v>56</v>
      </c>
      <c r="C39" s="131">
        <v>3</v>
      </c>
      <c r="D39" s="120">
        <v>43599</v>
      </c>
      <c r="E39" s="107">
        <v>427</v>
      </c>
      <c r="F39" s="140">
        <f>309163+24250</f>
        <v>333413</v>
      </c>
      <c r="G39" s="149">
        <v>200047.8</v>
      </c>
      <c r="H39" s="150">
        <v>133365.20000000001</v>
      </c>
      <c r="I39" s="8"/>
      <c r="J39" s="9"/>
      <c r="K39" s="10"/>
      <c r="L39" s="24"/>
      <c r="M39" s="101">
        <v>24250</v>
      </c>
      <c r="N39" s="147"/>
    </row>
    <row r="40" spans="1:14" ht="17.100000000000001" customHeight="1" x14ac:dyDescent="0.3">
      <c r="A40" s="159">
        <v>27</v>
      </c>
      <c r="B40" s="160" t="s">
        <v>23</v>
      </c>
      <c r="C40" s="131">
        <v>3</v>
      </c>
      <c r="D40" s="120">
        <v>43787</v>
      </c>
      <c r="E40" s="107">
        <v>481.8</v>
      </c>
      <c r="F40" s="140">
        <f>390000+8000</f>
        <v>398000</v>
      </c>
      <c r="G40" s="149">
        <v>238800</v>
      </c>
      <c r="H40" s="150">
        <v>159200</v>
      </c>
      <c r="I40" s="8"/>
      <c r="J40" s="9"/>
      <c r="K40" s="10"/>
      <c r="L40" s="24"/>
      <c r="M40" s="101">
        <v>8000</v>
      </c>
      <c r="N40" s="147"/>
    </row>
    <row r="41" spans="1:14" ht="17.100000000000001" customHeight="1" x14ac:dyDescent="0.3">
      <c r="A41" s="159">
        <v>28</v>
      </c>
      <c r="B41" s="160" t="s">
        <v>57</v>
      </c>
      <c r="C41" s="131">
        <v>3</v>
      </c>
      <c r="D41" s="120">
        <v>43584</v>
      </c>
      <c r="E41" s="107">
        <v>376</v>
      </c>
      <c r="F41" s="140">
        <f>232907+24250</f>
        <v>257157</v>
      </c>
      <c r="G41" s="149">
        <v>154294.19999999998</v>
      </c>
      <c r="H41" s="150">
        <v>102862.8</v>
      </c>
      <c r="I41" s="8"/>
      <c r="J41" s="9"/>
      <c r="K41" s="10"/>
      <c r="L41" s="24"/>
      <c r="M41" s="101">
        <v>24250</v>
      </c>
      <c r="N41" s="147"/>
    </row>
    <row r="42" spans="1:14" ht="17.100000000000001" customHeight="1" x14ac:dyDescent="0.3">
      <c r="A42" s="159">
        <v>29</v>
      </c>
      <c r="B42" s="160" t="s">
        <v>26</v>
      </c>
      <c r="C42" s="131">
        <v>3</v>
      </c>
      <c r="D42" s="120">
        <v>43697</v>
      </c>
      <c r="E42" s="107">
        <v>364.85</v>
      </c>
      <c r="F42" s="140">
        <f>296009.69+6000</f>
        <v>302009.69</v>
      </c>
      <c r="G42" s="149">
        <v>181205.81399999998</v>
      </c>
      <c r="H42" s="150">
        <v>120803.876</v>
      </c>
      <c r="I42" s="8"/>
      <c r="J42" s="9"/>
      <c r="K42" s="10"/>
      <c r="L42" s="24"/>
      <c r="M42" s="99">
        <v>6000</v>
      </c>
      <c r="N42" s="147"/>
    </row>
    <row r="43" spans="1:14" ht="17.100000000000001" customHeight="1" x14ac:dyDescent="0.3">
      <c r="A43" s="159">
        <v>30</v>
      </c>
      <c r="B43" s="160" t="s">
        <v>27</v>
      </c>
      <c r="C43" s="131">
        <v>3</v>
      </c>
      <c r="D43" s="120">
        <v>43799</v>
      </c>
      <c r="E43" s="107">
        <v>203.1</v>
      </c>
      <c r="F43" s="140">
        <f>170000+6000</f>
        <v>176000</v>
      </c>
      <c r="G43" s="149">
        <v>105600</v>
      </c>
      <c r="H43" s="150">
        <v>70400</v>
      </c>
      <c r="I43" s="8"/>
      <c r="J43" s="9"/>
      <c r="K43" s="10"/>
      <c r="L43" s="24"/>
      <c r="M43" s="101">
        <v>6000</v>
      </c>
      <c r="N43" s="147"/>
    </row>
    <row r="44" spans="1:14" ht="17.100000000000001" customHeight="1" x14ac:dyDescent="0.3">
      <c r="A44" s="159">
        <v>31</v>
      </c>
      <c r="B44" s="160" t="s">
        <v>19</v>
      </c>
      <c r="C44" s="131">
        <v>3</v>
      </c>
      <c r="D44" s="120">
        <v>43830</v>
      </c>
      <c r="E44" s="107">
        <v>101.7</v>
      </c>
      <c r="F44" s="140">
        <f>129350+6000</f>
        <v>135350</v>
      </c>
      <c r="G44" s="149">
        <v>81210</v>
      </c>
      <c r="H44" s="150">
        <v>54140</v>
      </c>
      <c r="I44" s="8"/>
      <c r="J44" s="9"/>
      <c r="K44" s="10"/>
      <c r="L44" s="24"/>
      <c r="M44" s="99">
        <v>8000</v>
      </c>
      <c r="N44" s="147"/>
    </row>
    <row r="45" spans="1:14" ht="17.100000000000001" customHeight="1" x14ac:dyDescent="0.3">
      <c r="A45" s="159">
        <v>32</v>
      </c>
      <c r="B45" s="160" t="s">
        <v>24</v>
      </c>
      <c r="C45" s="131">
        <v>3</v>
      </c>
      <c r="D45" s="120">
        <v>43707</v>
      </c>
      <c r="E45" s="107">
        <v>309.7</v>
      </c>
      <c r="F45" s="140">
        <f>338300+6000</f>
        <v>344300</v>
      </c>
      <c r="G45" s="149">
        <v>206580</v>
      </c>
      <c r="H45" s="150">
        <v>137720</v>
      </c>
      <c r="I45" s="8"/>
      <c r="J45" s="9"/>
      <c r="K45" s="10"/>
      <c r="L45" s="24"/>
      <c r="M45" s="99">
        <v>6000</v>
      </c>
      <c r="N45" s="147"/>
    </row>
    <row r="46" spans="1:14" ht="17.100000000000001" customHeight="1" x14ac:dyDescent="0.3">
      <c r="A46" s="159">
        <v>33</v>
      </c>
      <c r="B46" s="160" t="s">
        <v>28</v>
      </c>
      <c r="C46" s="131">
        <v>3</v>
      </c>
      <c r="D46" s="108">
        <v>43799</v>
      </c>
      <c r="E46" s="107">
        <v>601.70000000000005</v>
      </c>
      <c r="F46" s="140">
        <f>348250+6000</f>
        <v>354250</v>
      </c>
      <c r="G46" s="149">
        <v>212550</v>
      </c>
      <c r="H46" s="150">
        <v>141700</v>
      </c>
      <c r="I46" s="8"/>
      <c r="J46" s="9"/>
      <c r="K46" s="10"/>
      <c r="L46" s="24"/>
      <c r="M46" s="98">
        <v>6000</v>
      </c>
      <c r="N46" s="147"/>
    </row>
    <row r="47" spans="1:14" ht="17.100000000000001" customHeight="1" x14ac:dyDescent="0.3">
      <c r="A47" s="159">
        <v>34</v>
      </c>
      <c r="B47" s="160" t="s">
        <v>20</v>
      </c>
      <c r="C47" s="131" t="s">
        <v>61</v>
      </c>
      <c r="D47" s="108">
        <v>43830</v>
      </c>
      <c r="E47" s="107" t="s">
        <v>105</v>
      </c>
      <c r="F47" s="140">
        <f>153024.03+10000</f>
        <v>163024.03</v>
      </c>
      <c r="G47" s="149">
        <v>97814.417999999991</v>
      </c>
      <c r="H47" s="150">
        <v>65209.612000000001</v>
      </c>
      <c r="I47" s="8"/>
      <c r="J47" s="9"/>
      <c r="K47" s="10"/>
      <c r="L47" s="24"/>
      <c r="M47" s="101">
        <v>6000</v>
      </c>
      <c r="N47" s="147"/>
    </row>
    <row r="48" spans="1:14" ht="17.100000000000001" customHeight="1" x14ac:dyDescent="0.3">
      <c r="A48" s="159">
        <v>35</v>
      </c>
      <c r="B48" s="160" t="s">
        <v>22</v>
      </c>
      <c r="C48" s="131" t="s">
        <v>61</v>
      </c>
      <c r="D48" s="108">
        <v>43796</v>
      </c>
      <c r="E48" s="107" t="s">
        <v>58</v>
      </c>
      <c r="F48" s="140">
        <f>250000+10000</f>
        <v>260000</v>
      </c>
      <c r="G48" s="149">
        <v>156000</v>
      </c>
      <c r="H48" s="150">
        <v>104000</v>
      </c>
      <c r="I48" s="34"/>
      <c r="J48" s="11"/>
      <c r="K48" s="12"/>
      <c r="L48" s="25"/>
      <c r="M48" s="99">
        <v>6000</v>
      </c>
      <c r="N48" s="147"/>
    </row>
    <row r="49" spans="1:14" ht="17.100000000000001" customHeight="1" x14ac:dyDescent="0.3">
      <c r="A49" s="159">
        <v>36</v>
      </c>
      <c r="B49" s="160" t="s">
        <v>21</v>
      </c>
      <c r="C49" s="131" t="s">
        <v>61</v>
      </c>
      <c r="D49" s="108">
        <v>43830</v>
      </c>
      <c r="E49" s="107">
        <v>94.1</v>
      </c>
      <c r="F49" s="140">
        <f>147553+8000</f>
        <v>155553</v>
      </c>
      <c r="G49" s="149">
        <v>93331.8</v>
      </c>
      <c r="H49" s="150">
        <v>62221.200000000004</v>
      </c>
      <c r="I49" s="34">
        <v>100400</v>
      </c>
      <c r="J49" s="11"/>
      <c r="K49" s="12"/>
      <c r="L49" s="25"/>
      <c r="M49" s="99">
        <v>6000</v>
      </c>
      <c r="N49" s="147"/>
    </row>
    <row r="50" spans="1:14" ht="17.100000000000001" customHeight="1" x14ac:dyDescent="0.3">
      <c r="A50" s="159">
        <v>37</v>
      </c>
      <c r="B50" s="160" t="s">
        <v>100</v>
      </c>
      <c r="C50" s="131">
        <v>4</v>
      </c>
      <c r="D50" s="108">
        <v>43830</v>
      </c>
      <c r="E50" s="107">
        <v>321.7</v>
      </c>
      <c r="F50" s="140">
        <f>500000+10000</f>
        <v>510000</v>
      </c>
      <c r="G50" s="149">
        <v>306000</v>
      </c>
      <c r="H50" s="150">
        <v>204000</v>
      </c>
      <c r="I50" s="34"/>
      <c r="J50" s="11"/>
      <c r="K50" s="12"/>
      <c r="L50" s="25"/>
      <c r="M50" s="99">
        <v>10000</v>
      </c>
      <c r="N50" s="147"/>
    </row>
    <row r="51" spans="1:14" ht="17.100000000000001" customHeight="1" x14ac:dyDescent="0.3">
      <c r="A51" s="159">
        <v>38</v>
      </c>
      <c r="B51" s="160" t="s">
        <v>31</v>
      </c>
      <c r="C51" s="131">
        <v>4</v>
      </c>
      <c r="D51" s="108">
        <v>43830</v>
      </c>
      <c r="E51" s="107">
        <v>303.89999999999998</v>
      </c>
      <c r="F51" s="140">
        <f>150000+8000</f>
        <v>158000</v>
      </c>
      <c r="G51" s="149">
        <v>94800</v>
      </c>
      <c r="H51" s="150">
        <v>63200</v>
      </c>
      <c r="I51" s="34"/>
      <c r="J51" s="11"/>
      <c r="K51" s="12"/>
      <c r="L51" s="25"/>
      <c r="M51" s="99">
        <v>10000</v>
      </c>
      <c r="N51" s="147"/>
    </row>
    <row r="52" spans="1:14" ht="17.100000000000001" customHeight="1" thickBot="1" x14ac:dyDescent="0.35">
      <c r="A52" s="159">
        <v>39</v>
      </c>
      <c r="B52" s="160" t="s">
        <v>32</v>
      </c>
      <c r="C52" s="131">
        <v>4</v>
      </c>
      <c r="D52" s="108">
        <v>43795</v>
      </c>
      <c r="E52" s="107">
        <v>242.6</v>
      </c>
      <c r="F52" s="140">
        <f>199000+8000</f>
        <v>207000</v>
      </c>
      <c r="G52" s="149">
        <v>124200</v>
      </c>
      <c r="H52" s="150">
        <v>82800</v>
      </c>
      <c r="I52" s="111"/>
      <c r="J52" s="112"/>
      <c r="K52" s="113"/>
      <c r="L52" s="114"/>
      <c r="M52" s="103">
        <v>8000</v>
      </c>
      <c r="N52" s="147"/>
    </row>
    <row r="53" spans="1:14" ht="17.100000000000001" customHeight="1" x14ac:dyDescent="0.3">
      <c r="A53" s="159">
        <v>40</v>
      </c>
      <c r="B53" s="160" t="s">
        <v>34</v>
      </c>
      <c r="C53" s="131">
        <v>4</v>
      </c>
      <c r="D53" s="108">
        <v>43705</v>
      </c>
      <c r="E53" s="107">
        <v>386.9</v>
      </c>
      <c r="F53" s="140">
        <f>298300+6000</f>
        <v>304300</v>
      </c>
      <c r="G53" s="149">
        <v>182580</v>
      </c>
      <c r="H53" s="150">
        <v>121720</v>
      </c>
      <c r="I53" s="41"/>
      <c r="J53" s="42"/>
      <c r="K53" s="42"/>
      <c r="L53" s="43"/>
      <c r="M53" s="110">
        <v>10000</v>
      </c>
      <c r="N53" s="147"/>
    </row>
    <row r="54" spans="1:14" ht="17.100000000000001" customHeight="1" x14ac:dyDescent="0.3">
      <c r="A54" s="159">
        <v>41</v>
      </c>
      <c r="B54" s="160" t="s">
        <v>35</v>
      </c>
      <c r="C54" s="131">
        <v>4</v>
      </c>
      <c r="D54" s="108">
        <v>43718</v>
      </c>
      <c r="E54" s="107">
        <v>379.2</v>
      </c>
      <c r="F54" s="140">
        <f>336092.47+6000</f>
        <v>342092.47</v>
      </c>
      <c r="G54" s="149">
        <v>205255.48199999999</v>
      </c>
      <c r="H54" s="150">
        <v>136836.98799999998</v>
      </c>
      <c r="I54" s="41"/>
      <c r="J54" s="42"/>
      <c r="K54" s="43"/>
      <c r="L54" s="25"/>
      <c r="M54" s="99">
        <v>8000</v>
      </c>
      <c r="N54" s="147"/>
    </row>
    <row r="55" spans="1:14" ht="17.100000000000001" customHeight="1" x14ac:dyDescent="0.3">
      <c r="A55" s="159">
        <v>42</v>
      </c>
      <c r="B55" s="160" t="s">
        <v>36</v>
      </c>
      <c r="C55" s="131">
        <v>4</v>
      </c>
      <c r="D55" s="108">
        <v>43830</v>
      </c>
      <c r="E55" s="107">
        <v>543.5</v>
      </c>
      <c r="F55" s="140">
        <f>500000+6000</f>
        <v>506000</v>
      </c>
      <c r="G55" s="149">
        <v>303600</v>
      </c>
      <c r="H55" s="150">
        <v>202400</v>
      </c>
      <c r="I55" s="34"/>
      <c r="J55" s="11"/>
      <c r="K55" s="12"/>
      <c r="L55" s="25"/>
      <c r="M55" s="99">
        <v>8000</v>
      </c>
      <c r="N55" s="147"/>
    </row>
    <row r="56" spans="1:14" ht="16.5" customHeight="1" x14ac:dyDescent="0.3">
      <c r="A56" s="159">
        <v>43</v>
      </c>
      <c r="B56" s="160" t="s">
        <v>30</v>
      </c>
      <c r="C56" s="131">
        <v>4</v>
      </c>
      <c r="D56" s="108">
        <v>43830</v>
      </c>
      <c r="E56" s="107">
        <v>212.5</v>
      </c>
      <c r="F56" s="140">
        <f>375000+8000</f>
        <v>383000</v>
      </c>
      <c r="G56" s="149">
        <v>229800</v>
      </c>
      <c r="H56" s="150">
        <v>153200</v>
      </c>
      <c r="I56" s="34"/>
      <c r="J56" s="11"/>
      <c r="K56" s="12"/>
      <c r="L56" s="25"/>
      <c r="M56" s="99">
        <v>8000</v>
      </c>
      <c r="N56" s="147"/>
    </row>
    <row r="57" spans="1:14" ht="17.100000000000001" customHeight="1" x14ac:dyDescent="0.3">
      <c r="A57" s="159">
        <v>44</v>
      </c>
      <c r="B57" s="160" t="s">
        <v>90</v>
      </c>
      <c r="C57" s="131">
        <v>4</v>
      </c>
      <c r="D57" s="108">
        <v>43791</v>
      </c>
      <c r="E57" s="107">
        <v>106.3</v>
      </c>
      <c r="F57" s="140">
        <f>91708+8000</f>
        <v>99708</v>
      </c>
      <c r="G57" s="149">
        <v>59824.799999999996</v>
      </c>
      <c r="H57" s="150">
        <v>39883.200000000004</v>
      </c>
      <c r="I57" s="34"/>
      <c r="J57" s="11"/>
      <c r="K57" s="12"/>
      <c r="L57" s="25"/>
      <c r="M57" s="99">
        <v>6000</v>
      </c>
      <c r="N57" s="147"/>
    </row>
    <row r="58" spans="1:14" ht="17.100000000000001" customHeight="1" x14ac:dyDescent="0.3">
      <c r="A58" s="159">
        <v>45</v>
      </c>
      <c r="B58" s="160" t="s">
        <v>38</v>
      </c>
      <c r="C58" s="131">
        <v>5</v>
      </c>
      <c r="D58" s="108">
        <v>43761</v>
      </c>
      <c r="E58" s="165">
        <v>101.7</v>
      </c>
      <c r="F58" s="140">
        <f>125346.15+6000</f>
        <v>131346.15</v>
      </c>
      <c r="G58" s="149">
        <v>78807.689999999988</v>
      </c>
      <c r="H58" s="150">
        <v>52538.46</v>
      </c>
      <c r="I58" s="34"/>
      <c r="J58" s="11"/>
      <c r="K58" s="12"/>
      <c r="L58" s="25"/>
      <c r="M58" s="101">
        <v>6000</v>
      </c>
      <c r="N58" s="147"/>
    </row>
    <row r="59" spans="1:14" ht="17.100000000000001" customHeight="1" x14ac:dyDescent="0.3">
      <c r="A59" s="159">
        <v>46</v>
      </c>
      <c r="B59" s="160" t="s">
        <v>43</v>
      </c>
      <c r="C59" s="131">
        <v>5</v>
      </c>
      <c r="D59" s="108">
        <v>43799</v>
      </c>
      <c r="E59" s="165">
        <v>98.8</v>
      </c>
      <c r="F59" s="140">
        <f>119375+6000</f>
        <v>125375</v>
      </c>
      <c r="G59" s="149">
        <v>75225</v>
      </c>
      <c r="H59" s="150">
        <v>50150</v>
      </c>
      <c r="I59" s="34"/>
      <c r="J59" s="11"/>
      <c r="K59" s="12"/>
      <c r="L59" s="25"/>
      <c r="M59" s="101">
        <v>6000</v>
      </c>
      <c r="N59" s="147"/>
    </row>
    <row r="60" spans="1:14" ht="17.100000000000001" customHeight="1" x14ac:dyDescent="0.3">
      <c r="A60" s="159">
        <v>47</v>
      </c>
      <c r="B60" s="160" t="s">
        <v>45</v>
      </c>
      <c r="C60" s="131">
        <v>5</v>
      </c>
      <c r="D60" s="108">
        <v>43802</v>
      </c>
      <c r="E60" s="165">
        <v>134</v>
      </c>
      <c r="F60" s="140">
        <f>211301+6000</f>
        <v>217301</v>
      </c>
      <c r="G60" s="149">
        <v>130380.59999999999</v>
      </c>
      <c r="H60" s="150">
        <v>86920.400000000009</v>
      </c>
      <c r="I60" s="35"/>
      <c r="J60" s="13"/>
      <c r="K60" s="14"/>
      <c r="L60" s="26"/>
      <c r="M60" s="97">
        <v>6000</v>
      </c>
      <c r="N60" s="147"/>
    </row>
    <row r="61" spans="1:14" ht="17.100000000000001" customHeight="1" x14ac:dyDescent="0.3">
      <c r="A61" s="159">
        <v>48</v>
      </c>
      <c r="B61" s="160" t="s">
        <v>44</v>
      </c>
      <c r="C61" s="131">
        <v>5</v>
      </c>
      <c r="D61" s="108">
        <v>43794</v>
      </c>
      <c r="E61" s="107">
        <v>479.6</v>
      </c>
      <c r="F61" s="140">
        <f>150000+8000</f>
        <v>158000</v>
      </c>
      <c r="G61" s="149">
        <v>94800</v>
      </c>
      <c r="H61" s="150">
        <v>63200</v>
      </c>
      <c r="I61" s="36"/>
      <c r="J61" s="15"/>
      <c r="K61" s="16"/>
      <c r="L61" s="27"/>
      <c r="M61" s="98">
        <v>6000</v>
      </c>
      <c r="N61" s="147"/>
    </row>
    <row r="62" spans="1:14" ht="17.100000000000001" customHeight="1" x14ac:dyDescent="0.3">
      <c r="A62" s="159">
        <v>49</v>
      </c>
      <c r="B62" s="160" t="s">
        <v>46</v>
      </c>
      <c r="C62" s="131">
        <v>5</v>
      </c>
      <c r="D62" s="108">
        <v>43830</v>
      </c>
      <c r="E62" s="107">
        <v>428.8</v>
      </c>
      <c r="F62" s="140">
        <f>260000+6000</f>
        <v>266000</v>
      </c>
      <c r="G62" s="149">
        <v>159600</v>
      </c>
      <c r="H62" s="150">
        <v>106400</v>
      </c>
      <c r="I62" s="36"/>
      <c r="J62" s="15"/>
      <c r="K62" s="16"/>
      <c r="L62" s="27"/>
      <c r="M62" s="97">
        <v>8000</v>
      </c>
      <c r="N62" s="147"/>
    </row>
    <row r="63" spans="1:14" ht="17.100000000000001" customHeight="1" thickBot="1" x14ac:dyDescent="0.35">
      <c r="A63" s="159">
        <v>50</v>
      </c>
      <c r="B63" s="160" t="s">
        <v>40</v>
      </c>
      <c r="C63" s="131">
        <v>5</v>
      </c>
      <c r="D63" s="108">
        <v>43724</v>
      </c>
      <c r="E63" s="107">
        <v>95.5</v>
      </c>
      <c r="F63" s="140">
        <f>129544.77+6000</f>
        <v>135544.77000000002</v>
      </c>
      <c r="G63" s="149">
        <v>81326.791999999987</v>
      </c>
      <c r="H63" s="150">
        <v>54217.978000000003</v>
      </c>
      <c r="I63" s="56"/>
      <c r="J63" s="54"/>
      <c r="K63" s="52"/>
      <c r="L63" s="57"/>
      <c r="M63" s="103">
        <v>8000</v>
      </c>
      <c r="N63" s="147"/>
    </row>
    <row r="64" spans="1:14" ht="17.100000000000001" customHeight="1" x14ac:dyDescent="0.3">
      <c r="A64" s="159">
        <v>51</v>
      </c>
      <c r="B64" s="160" t="s">
        <v>47</v>
      </c>
      <c r="C64" s="131">
        <v>5</v>
      </c>
      <c r="D64" s="108">
        <v>43781</v>
      </c>
      <c r="E64" s="107">
        <v>242.6</v>
      </c>
      <c r="F64" s="140">
        <f>220000+6000</f>
        <v>226000</v>
      </c>
      <c r="G64" s="149">
        <v>135600</v>
      </c>
      <c r="H64" s="150">
        <v>90400</v>
      </c>
      <c r="I64" s="55"/>
      <c r="J64" s="39"/>
      <c r="K64" s="51"/>
      <c r="L64" s="27"/>
      <c r="M64" s="102">
        <v>6000</v>
      </c>
      <c r="N64" s="147"/>
    </row>
    <row r="65" spans="1:14" ht="17.100000000000001" customHeight="1" x14ac:dyDescent="0.3">
      <c r="A65" s="159">
        <v>52</v>
      </c>
      <c r="B65" s="160" t="s">
        <v>41</v>
      </c>
      <c r="C65" s="131">
        <v>5</v>
      </c>
      <c r="D65" s="108">
        <v>43830</v>
      </c>
      <c r="E65" s="107">
        <v>441</v>
      </c>
      <c r="F65" s="140">
        <f>80000+6000</f>
        <v>86000</v>
      </c>
      <c r="G65" s="149">
        <v>51600</v>
      </c>
      <c r="H65" s="150">
        <v>34400</v>
      </c>
      <c r="I65" s="36"/>
      <c r="J65" s="15"/>
      <c r="K65" s="16"/>
      <c r="L65" s="27"/>
      <c r="M65" s="101">
        <v>6000</v>
      </c>
      <c r="N65" s="147"/>
    </row>
    <row r="66" spans="1:14" ht="17.100000000000001" customHeight="1" x14ac:dyDescent="0.3">
      <c r="A66" s="159">
        <v>53</v>
      </c>
      <c r="B66" s="160" t="s">
        <v>39</v>
      </c>
      <c r="C66" s="131">
        <v>5</v>
      </c>
      <c r="D66" s="108">
        <v>43794</v>
      </c>
      <c r="E66" s="107">
        <v>580.4</v>
      </c>
      <c r="F66" s="140">
        <f>598000+6000</f>
        <v>604000</v>
      </c>
      <c r="G66" s="149">
        <v>362400</v>
      </c>
      <c r="H66" s="150">
        <v>241600</v>
      </c>
      <c r="I66" s="36"/>
      <c r="J66" s="15"/>
      <c r="K66" s="16"/>
      <c r="L66" s="27"/>
      <c r="M66" s="101">
        <v>6000</v>
      </c>
      <c r="N66" s="147"/>
    </row>
    <row r="67" spans="1:14" ht="17.100000000000001" customHeight="1" x14ac:dyDescent="0.3">
      <c r="A67" s="159">
        <v>54</v>
      </c>
      <c r="B67" s="160" t="s">
        <v>84</v>
      </c>
      <c r="C67" s="131">
        <v>5</v>
      </c>
      <c r="D67" s="120">
        <v>43708</v>
      </c>
      <c r="E67" s="107">
        <v>208.28</v>
      </c>
      <c r="F67" s="140">
        <f>279000+6000</f>
        <v>285000</v>
      </c>
      <c r="G67" s="149">
        <v>171000</v>
      </c>
      <c r="H67" s="150">
        <v>114000</v>
      </c>
      <c r="I67" s="84"/>
      <c r="J67" s="67"/>
      <c r="K67" s="66"/>
      <c r="L67" s="71"/>
      <c r="M67" s="97">
        <v>6000</v>
      </c>
      <c r="N67" s="147"/>
    </row>
    <row r="68" spans="1:14" ht="17.100000000000001" customHeight="1" x14ac:dyDescent="0.3">
      <c r="A68" s="159">
        <v>55</v>
      </c>
      <c r="B68" s="160" t="s">
        <v>42</v>
      </c>
      <c r="C68" s="131">
        <v>5</v>
      </c>
      <c r="D68" s="108">
        <v>43761</v>
      </c>
      <c r="E68" s="107">
        <v>132.1</v>
      </c>
      <c r="F68" s="140">
        <f>128250+6000</f>
        <v>134250</v>
      </c>
      <c r="G68" s="149">
        <v>80550</v>
      </c>
      <c r="H68" s="150">
        <v>53700</v>
      </c>
      <c r="I68" s="37"/>
      <c r="J68" s="17"/>
      <c r="K68" s="18"/>
      <c r="L68" s="27"/>
      <c r="M68" s="99">
        <v>8000</v>
      </c>
      <c r="N68" s="147"/>
    </row>
    <row r="69" spans="1:14" ht="17.100000000000001" customHeight="1" x14ac:dyDescent="0.3">
      <c r="A69" s="159">
        <v>56</v>
      </c>
      <c r="B69" s="105" t="s">
        <v>48</v>
      </c>
      <c r="C69" s="106">
        <v>5</v>
      </c>
      <c r="D69" s="108">
        <v>43780</v>
      </c>
      <c r="E69" s="109">
        <v>236.5</v>
      </c>
      <c r="F69" s="148">
        <f>137000+8000</f>
        <v>145000</v>
      </c>
      <c r="G69" s="149">
        <v>87000</v>
      </c>
      <c r="H69" s="150">
        <v>58000</v>
      </c>
      <c r="I69" s="44"/>
      <c r="J69" s="40"/>
      <c r="K69" s="45"/>
      <c r="L69" s="27"/>
      <c r="M69" s="98">
        <v>6000</v>
      </c>
      <c r="N69" s="147"/>
    </row>
    <row r="70" spans="1:14" ht="17.100000000000001" customHeight="1" x14ac:dyDescent="0.3">
      <c r="A70" s="159">
        <v>57</v>
      </c>
      <c r="B70" s="105" t="s">
        <v>72</v>
      </c>
      <c r="C70" s="106">
        <v>5</v>
      </c>
      <c r="D70" s="108">
        <v>43830</v>
      </c>
      <c r="E70" s="109">
        <v>104.1</v>
      </c>
      <c r="F70" s="148">
        <f>163249+8000</f>
        <v>171249</v>
      </c>
      <c r="G70" s="149">
        <v>102749.4</v>
      </c>
      <c r="H70" s="150">
        <v>68499.600000000006</v>
      </c>
      <c r="I70" s="37"/>
      <c r="J70" s="17"/>
      <c r="K70" s="18"/>
      <c r="L70" s="27"/>
      <c r="M70" s="101">
        <v>6000</v>
      </c>
      <c r="N70" s="147"/>
    </row>
    <row r="71" spans="1:14" ht="17.100000000000001" customHeight="1" x14ac:dyDescent="0.3">
      <c r="A71" s="159">
        <v>58</v>
      </c>
      <c r="B71" s="105" t="s">
        <v>73</v>
      </c>
      <c r="C71" s="106">
        <v>5</v>
      </c>
      <c r="D71" s="108">
        <v>43830</v>
      </c>
      <c r="E71" s="109">
        <v>133</v>
      </c>
      <c r="F71" s="148">
        <f>118895+10000</f>
        <v>128895</v>
      </c>
      <c r="G71" s="149">
        <v>77337</v>
      </c>
      <c r="H71" s="150">
        <v>51558</v>
      </c>
      <c r="I71" s="37"/>
      <c r="J71" s="17"/>
      <c r="K71" s="18"/>
      <c r="L71" s="27"/>
      <c r="M71" s="101">
        <v>6000</v>
      </c>
      <c r="N71" s="147"/>
    </row>
    <row r="72" spans="1:14" ht="17.100000000000001" customHeight="1" x14ac:dyDescent="0.3">
      <c r="A72" s="159">
        <v>59</v>
      </c>
      <c r="B72" s="105" t="s">
        <v>93</v>
      </c>
      <c r="C72" s="106">
        <v>5</v>
      </c>
      <c r="D72" s="108">
        <v>43777</v>
      </c>
      <c r="E72" s="109">
        <v>448.9</v>
      </c>
      <c r="F72" s="148">
        <f>298450+8000</f>
        <v>306450</v>
      </c>
      <c r="G72" s="149">
        <v>183870</v>
      </c>
      <c r="H72" s="150">
        <v>122580</v>
      </c>
      <c r="I72" s="68"/>
      <c r="J72" s="69"/>
      <c r="K72" s="70"/>
      <c r="L72" s="71"/>
      <c r="M72" s="99">
        <v>8000</v>
      </c>
      <c r="N72" s="147"/>
    </row>
    <row r="73" spans="1:14" ht="17.100000000000001" customHeight="1" x14ac:dyDescent="0.3">
      <c r="A73" s="159">
        <v>60</v>
      </c>
      <c r="B73" s="105" t="s">
        <v>82</v>
      </c>
      <c r="C73" s="106">
        <v>5</v>
      </c>
      <c r="D73" s="108">
        <v>43799</v>
      </c>
      <c r="E73" s="109">
        <v>209.1</v>
      </c>
      <c r="F73" s="148">
        <f>148250+8000</f>
        <v>156250</v>
      </c>
      <c r="G73" s="149">
        <v>93750</v>
      </c>
      <c r="H73" s="150">
        <v>62500</v>
      </c>
      <c r="I73" s="37"/>
      <c r="J73" s="17"/>
      <c r="K73" s="18"/>
      <c r="L73" s="27"/>
      <c r="M73" s="99">
        <v>6000</v>
      </c>
      <c r="N73" s="147"/>
    </row>
    <row r="74" spans="1:14" ht="17.100000000000001" customHeight="1" x14ac:dyDescent="0.3">
      <c r="A74" s="159">
        <v>61</v>
      </c>
      <c r="B74" s="105" t="s">
        <v>74</v>
      </c>
      <c r="C74" s="106">
        <v>5</v>
      </c>
      <c r="D74" s="108">
        <v>43830</v>
      </c>
      <c r="E74" s="109">
        <v>125.1</v>
      </c>
      <c r="F74" s="148">
        <f>196216+8000</f>
        <v>204216</v>
      </c>
      <c r="G74" s="149">
        <v>122529.59999999999</v>
      </c>
      <c r="H74" s="150">
        <v>81686.400000000009</v>
      </c>
      <c r="I74" s="37"/>
      <c r="J74" s="17"/>
      <c r="K74" s="18"/>
      <c r="L74" s="27"/>
      <c r="M74" s="99">
        <v>6000</v>
      </c>
      <c r="N74" s="147"/>
    </row>
    <row r="75" spans="1:14" ht="17.100000000000001" customHeight="1" x14ac:dyDescent="0.3">
      <c r="A75" s="159">
        <v>62</v>
      </c>
      <c r="B75" s="105" t="s">
        <v>83</v>
      </c>
      <c r="C75" s="106">
        <v>5</v>
      </c>
      <c r="D75" s="108">
        <v>43830</v>
      </c>
      <c r="E75" s="109">
        <v>122.3</v>
      </c>
      <c r="F75" s="148">
        <f>177113+8000</f>
        <v>185113</v>
      </c>
      <c r="G75" s="149">
        <v>111067.8</v>
      </c>
      <c r="H75" s="150">
        <v>74045.2</v>
      </c>
      <c r="I75" s="68"/>
      <c r="J75" s="69"/>
      <c r="K75" s="70"/>
      <c r="L75" s="71"/>
      <c r="M75" s="99">
        <v>8000</v>
      </c>
      <c r="N75" s="147"/>
    </row>
    <row r="76" spans="1:14" ht="17.100000000000001" customHeight="1" x14ac:dyDescent="0.3">
      <c r="A76" s="159">
        <v>63</v>
      </c>
      <c r="B76" s="105" t="s">
        <v>94</v>
      </c>
      <c r="C76" s="106">
        <v>5</v>
      </c>
      <c r="D76" s="108">
        <v>43830</v>
      </c>
      <c r="E76" s="109">
        <v>96</v>
      </c>
      <c r="F76" s="148">
        <f>150690+8000</f>
        <v>158690</v>
      </c>
      <c r="G76" s="149">
        <v>95214</v>
      </c>
      <c r="H76" s="150">
        <v>63476</v>
      </c>
      <c r="I76" s="68"/>
      <c r="J76" s="69"/>
      <c r="K76" s="70"/>
      <c r="L76" s="71"/>
      <c r="M76" s="99">
        <v>8000</v>
      </c>
      <c r="N76" s="147"/>
    </row>
    <row r="77" spans="1:14" ht="17.100000000000001" customHeight="1" x14ac:dyDescent="0.3">
      <c r="A77" s="159">
        <v>64</v>
      </c>
      <c r="B77" s="105" t="s">
        <v>86</v>
      </c>
      <c r="C77" s="106">
        <v>5</v>
      </c>
      <c r="D77" s="108">
        <v>43830</v>
      </c>
      <c r="E77" s="109">
        <v>97.5</v>
      </c>
      <c r="F77" s="148">
        <f>147553+8000</f>
        <v>155553</v>
      </c>
      <c r="G77" s="149">
        <v>93331.8</v>
      </c>
      <c r="H77" s="150">
        <v>62221.200000000004</v>
      </c>
      <c r="I77" s="37"/>
      <c r="J77" s="17"/>
      <c r="K77" s="18"/>
      <c r="L77" s="27"/>
      <c r="M77" s="101">
        <v>6000</v>
      </c>
      <c r="N77" s="147"/>
    </row>
    <row r="78" spans="1:14" ht="17.100000000000001" customHeight="1" x14ac:dyDescent="0.3">
      <c r="A78" s="159">
        <v>65</v>
      </c>
      <c r="B78" s="105" t="s">
        <v>76</v>
      </c>
      <c r="C78" s="106">
        <v>5</v>
      </c>
      <c r="D78" s="108">
        <v>43830</v>
      </c>
      <c r="E78" s="109">
        <v>98</v>
      </c>
      <c r="F78" s="148">
        <f>153833+8000</f>
        <v>161833</v>
      </c>
      <c r="G78" s="149">
        <v>97099.8</v>
      </c>
      <c r="H78" s="150">
        <v>64733.200000000004</v>
      </c>
      <c r="I78" s="37"/>
      <c r="J78" s="17"/>
      <c r="K78" s="18"/>
      <c r="L78" s="27"/>
      <c r="M78" s="101">
        <v>6000</v>
      </c>
      <c r="N78" s="147"/>
    </row>
    <row r="79" spans="1:14" ht="17.100000000000001" customHeight="1" x14ac:dyDescent="0.3">
      <c r="A79" s="159">
        <v>66</v>
      </c>
      <c r="B79" s="105" t="s">
        <v>71</v>
      </c>
      <c r="C79" s="106">
        <v>5</v>
      </c>
      <c r="D79" s="108">
        <v>43778</v>
      </c>
      <c r="E79" s="109">
        <v>224.1</v>
      </c>
      <c r="F79" s="148">
        <f>298500+8000</f>
        <v>306500</v>
      </c>
      <c r="G79" s="149">
        <v>183900</v>
      </c>
      <c r="H79" s="150">
        <v>122600</v>
      </c>
      <c r="I79" s="68"/>
      <c r="J79" s="69"/>
      <c r="K79" s="70"/>
      <c r="L79" s="71"/>
      <c r="M79" s="99">
        <v>8000</v>
      </c>
      <c r="N79" s="147"/>
    </row>
    <row r="80" spans="1:14" ht="17.100000000000001" customHeight="1" x14ac:dyDescent="0.3">
      <c r="A80" s="159">
        <v>67</v>
      </c>
      <c r="B80" s="105" t="s">
        <v>77</v>
      </c>
      <c r="C80" s="106">
        <v>5</v>
      </c>
      <c r="D80" s="108">
        <v>43830</v>
      </c>
      <c r="E80" s="109">
        <v>111.4</v>
      </c>
      <c r="F80" s="148">
        <f>170620+8000</f>
        <v>178620</v>
      </c>
      <c r="G80" s="149">
        <v>107172</v>
      </c>
      <c r="H80" s="150">
        <v>71448</v>
      </c>
      <c r="I80" s="38"/>
      <c r="J80" s="19"/>
      <c r="K80" s="32"/>
      <c r="L80" s="28"/>
      <c r="M80" s="99">
        <v>8000</v>
      </c>
      <c r="N80" s="147"/>
    </row>
    <row r="81" spans="1:14" ht="17.100000000000001" customHeight="1" x14ac:dyDescent="0.3">
      <c r="A81" s="159">
        <v>68</v>
      </c>
      <c r="B81" s="105" t="s">
        <v>87</v>
      </c>
      <c r="C81" s="106">
        <v>5</v>
      </c>
      <c r="D81" s="108">
        <v>43830</v>
      </c>
      <c r="E81" s="109">
        <v>93.1</v>
      </c>
      <c r="F81" s="148">
        <f>145997+10000</f>
        <v>155997</v>
      </c>
      <c r="G81" s="149">
        <v>93598.2</v>
      </c>
      <c r="H81" s="150">
        <v>62398.8</v>
      </c>
      <c r="I81" s="72"/>
      <c r="J81" s="73"/>
      <c r="K81" s="74"/>
      <c r="L81" s="75"/>
      <c r="M81" s="99">
        <v>8000</v>
      </c>
      <c r="N81" s="147"/>
    </row>
    <row r="82" spans="1:14" ht="17.100000000000001" customHeight="1" x14ac:dyDescent="0.3">
      <c r="A82" s="159">
        <v>69</v>
      </c>
      <c r="B82" s="105" t="s">
        <v>88</v>
      </c>
      <c r="C82" s="106">
        <v>5</v>
      </c>
      <c r="D82" s="108">
        <v>43830</v>
      </c>
      <c r="E82" s="109">
        <v>100</v>
      </c>
      <c r="F82" s="148">
        <f>154625+10000</f>
        <v>164625</v>
      </c>
      <c r="G82" s="149">
        <v>98775</v>
      </c>
      <c r="H82" s="150">
        <v>65850</v>
      </c>
      <c r="I82" s="85"/>
      <c r="J82" s="86"/>
      <c r="K82" s="87"/>
      <c r="L82" s="88"/>
      <c r="M82" s="99">
        <v>8000</v>
      </c>
      <c r="N82" s="147"/>
    </row>
    <row r="83" spans="1:14" ht="17.100000000000001" customHeight="1" x14ac:dyDescent="0.3">
      <c r="A83" s="159">
        <v>70</v>
      </c>
      <c r="B83" s="105" t="s">
        <v>75</v>
      </c>
      <c r="C83" s="106">
        <v>5</v>
      </c>
      <c r="D83" s="108">
        <v>43830</v>
      </c>
      <c r="E83" s="109">
        <v>103.5</v>
      </c>
      <c r="F83" s="148">
        <f>160822+10000</f>
        <v>170822</v>
      </c>
      <c r="G83" s="149">
        <v>102493.2</v>
      </c>
      <c r="H83" s="150">
        <v>68328.800000000003</v>
      </c>
      <c r="I83" s="38"/>
      <c r="J83" s="19"/>
      <c r="K83" s="32"/>
      <c r="L83" s="28"/>
      <c r="M83" s="99">
        <v>10000</v>
      </c>
      <c r="N83" s="147"/>
    </row>
    <row r="84" spans="1:14" ht="17.100000000000001" customHeight="1" x14ac:dyDescent="0.3">
      <c r="A84" s="159">
        <v>71</v>
      </c>
      <c r="B84" s="105" t="s">
        <v>81</v>
      </c>
      <c r="C84" s="106">
        <v>5</v>
      </c>
      <c r="D84" s="108">
        <v>43830</v>
      </c>
      <c r="E84" s="109">
        <v>98.5</v>
      </c>
      <c r="F84" s="166">
        <f>148171+10000</f>
        <v>158171</v>
      </c>
      <c r="G84" s="149">
        <v>94902.599999999991</v>
      </c>
      <c r="H84" s="150">
        <v>63268.4</v>
      </c>
      <c r="I84" s="64"/>
      <c r="J84" s="49"/>
      <c r="K84" s="49"/>
      <c r="L84" s="50"/>
      <c r="M84" s="99">
        <v>8000</v>
      </c>
      <c r="N84" s="147"/>
    </row>
    <row r="85" spans="1:14" ht="17.100000000000001" customHeight="1" x14ac:dyDescent="0.3">
      <c r="A85" s="159">
        <v>72</v>
      </c>
      <c r="B85" s="105" t="s">
        <v>89</v>
      </c>
      <c r="C85" s="106">
        <v>5</v>
      </c>
      <c r="D85" s="108">
        <v>43830</v>
      </c>
      <c r="E85" s="109">
        <v>95</v>
      </c>
      <c r="F85" s="148">
        <f>146735+10000</f>
        <v>156735</v>
      </c>
      <c r="G85" s="149">
        <v>94041</v>
      </c>
      <c r="H85" s="150">
        <v>62694</v>
      </c>
      <c r="I85" s="38"/>
      <c r="J85" s="19"/>
      <c r="K85" s="32"/>
      <c r="L85" s="28"/>
      <c r="M85" s="99">
        <v>8000</v>
      </c>
      <c r="N85" s="147"/>
    </row>
    <row r="86" spans="1:14" ht="17.100000000000001" customHeight="1" x14ac:dyDescent="0.3">
      <c r="A86" s="159">
        <v>73</v>
      </c>
      <c r="B86" s="105" t="s">
        <v>92</v>
      </c>
      <c r="C86" s="106">
        <v>5</v>
      </c>
      <c r="D86" s="108">
        <v>43830</v>
      </c>
      <c r="E86" s="109">
        <v>451.4</v>
      </c>
      <c r="F86" s="148">
        <f>450000+10000</f>
        <v>460000</v>
      </c>
      <c r="G86" s="149">
        <v>276000</v>
      </c>
      <c r="H86" s="150">
        <v>184000</v>
      </c>
      <c r="I86" s="38"/>
      <c r="J86" s="19"/>
      <c r="K86" s="32"/>
      <c r="L86" s="28"/>
      <c r="M86" s="99">
        <v>8000</v>
      </c>
      <c r="N86" s="147"/>
    </row>
    <row r="87" spans="1:14" ht="17.100000000000001" customHeight="1" x14ac:dyDescent="0.3">
      <c r="A87" s="159">
        <v>74</v>
      </c>
      <c r="B87" s="105" t="s">
        <v>95</v>
      </c>
      <c r="C87" s="106">
        <v>5</v>
      </c>
      <c r="D87" s="108">
        <v>43830</v>
      </c>
      <c r="E87" s="109">
        <v>244.2</v>
      </c>
      <c r="F87" s="148">
        <f>250000+8000</f>
        <v>258000</v>
      </c>
      <c r="G87" s="149">
        <v>154800</v>
      </c>
      <c r="H87" s="150">
        <v>103200</v>
      </c>
      <c r="I87" s="38"/>
      <c r="J87" s="19"/>
      <c r="K87" s="32"/>
      <c r="L87" s="28"/>
      <c r="M87" s="99">
        <v>8000</v>
      </c>
      <c r="N87" s="147"/>
    </row>
    <row r="88" spans="1:14" ht="17.100000000000001" customHeight="1" x14ac:dyDescent="0.3">
      <c r="A88" s="159">
        <v>75</v>
      </c>
      <c r="B88" s="105" t="s">
        <v>96</v>
      </c>
      <c r="C88" s="106">
        <v>5</v>
      </c>
      <c r="D88" s="108">
        <v>43830</v>
      </c>
      <c r="E88" s="109">
        <v>100</v>
      </c>
      <c r="F88" s="148">
        <f>138830.09+8000</f>
        <v>146830.09</v>
      </c>
      <c r="G88" s="149">
        <v>88098.053999999989</v>
      </c>
      <c r="H88" s="150">
        <v>58732.036</v>
      </c>
      <c r="I88" s="89"/>
      <c r="J88" s="90"/>
      <c r="K88" s="91"/>
      <c r="L88" s="88"/>
      <c r="M88" s="99">
        <v>8000</v>
      </c>
      <c r="N88" s="147"/>
    </row>
    <row r="89" spans="1:14" ht="17.100000000000001" customHeight="1" x14ac:dyDescent="0.3">
      <c r="A89" s="159">
        <v>76</v>
      </c>
      <c r="B89" s="105" t="s">
        <v>80</v>
      </c>
      <c r="C89" s="106">
        <v>5</v>
      </c>
      <c r="D89" s="108">
        <v>43830</v>
      </c>
      <c r="E89" s="109">
        <v>91.2</v>
      </c>
      <c r="F89" s="148">
        <f>136962+10000</f>
        <v>146962</v>
      </c>
      <c r="G89" s="149">
        <v>88177.2</v>
      </c>
      <c r="H89" s="150">
        <v>58784.800000000003</v>
      </c>
      <c r="I89" s="85"/>
      <c r="J89" s="86"/>
      <c r="K89" s="87"/>
      <c r="L89" s="88"/>
      <c r="M89" s="99">
        <v>8000</v>
      </c>
      <c r="N89" s="147"/>
    </row>
    <row r="90" spans="1:14" ht="17.100000000000001" customHeight="1" x14ac:dyDescent="0.3">
      <c r="A90" s="159">
        <v>77</v>
      </c>
      <c r="B90" s="105" t="s">
        <v>97</v>
      </c>
      <c r="C90" s="106">
        <v>5</v>
      </c>
      <c r="D90" s="108">
        <v>43830</v>
      </c>
      <c r="E90" s="109">
        <v>96</v>
      </c>
      <c r="F90" s="148">
        <f>144332+10000</f>
        <v>154332</v>
      </c>
      <c r="G90" s="149">
        <v>92599.2</v>
      </c>
      <c r="H90" s="150">
        <v>61732.800000000003</v>
      </c>
      <c r="I90" s="85"/>
      <c r="J90" s="86"/>
      <c r="K90" s="87"/>
      <c r="L90" s="88"/>
      <c r="M90" s="99">
        <v>8000</v>
      </c>
      <c r="N90" s="147"/>
    </row>
    <row r="91" spans="1:14" ht="17.100000000000001" customHeight="1" x14ac:dyDescent="0.3">
      <c r="A91" s="159">
        <v>78</v>
      </c>
      <c r="B91" s="105" t="s">
        <v>79</v>
      </c>
      <c r="C91" s="106">
        <v>5</v>
      </c>
      <c r="D91" s="108">
        <v>43830</v>
      </c>
      <c r="E91" s="109">
        <v>96</v>
      </c>
      <c r="F91" s="148">
        <f>144332+10000</f>
        <v>154332</v>
      </c>
      <c r="G91" s="149">
        <v>92599.2</v>
      </c>
      <c r="H91" s="150">
        <v>61732.800000000003</v>
      </c>
      <c r="I91" s="85"/>
      <c r="J91" s="86"/>
      <c r="K91" s="87"/>
      <c r="L91" s="88"/>
      <c r="M91" s="99">
        <v>8000</v>
      </c>
      <c r="N91" s="147"/>
    </row>
    <row r="92" spans="1:14" ht="17.100000000000001" customHeight="1" x14ac:dyDescent="0.3">
      <c r="A92" s="159">
        <v>79</v>
      </c>
      <c r="B92" s="105" t="s">
        <v>98</v>
      </c>
      <c r="C92" s="106">
        <v>5</v>
      </c>
      <c r="D92" s="108">
        <v>43830</v>
      </c>
      <c r="E92" s="109">
        <v>95.1</v>
      </c>
      <c r="F92" s="148">
        <f>147302+10000</f>
        <v>157302</v>
      </c>
      <c r="G92" s="149">
        <v>94381.2</v>
      </c>
      <c r="H92" s="150">
        <v>62920.800000000003</v>
      </c>
      <c r="I92" s="38"/>
      <c r="J92" s="19"/>
      <c r="K92" s="32"/>
      <c r="L92" s="28"/>
      <c r="M92" s="99">
        <v>8000</v>
      </c>
      <c r="N92" s="147"/>
    </row>
    <row r="93" spans="1:14" ht="17.100000000000001" customHeight="1" x14ac:dyDescent="0.3">
      <c r="A93" s="159">
        <v>80</v>
      </c>
      <c r="B93" s="105" t="s">
        <v>78</v>
      </c>
      <c r="C93" s="106">
        <v>5</v>
      </c>
      <c r="D93" s="108">
        <v>43830</v>
      </c>
      <c r="E93" s="109">
        <v>94.6</v>
      </c>
      <c r="F93" s="148">
        <f>144332+10000</f>
        <v>154332</v>
      </c>
      <c r="G93" s="149">
        <v>92599.2</v>
      </c>
      <c r="H93" s="150">
        <v>61732.800000000003</v>
      </c>
      <c r="I93" s="85"/>
      <c r="J93" s="86"/>
      <c r="K93" s="87"/>
      <c r="L93" s="88"/>
      <c r="M93" s="100">
        <v>8000</v>
      </c>
      <c r="N93" s="147"/>
    </row>
    <row r="94" spans="1:14" ht="17.100000000000001" customHeight="1" x14ac:dyDescent="0.3">
      <c r="A94" s="159">
        <v>81</v>
      </c>
      <c r="B94" s="105" t="s">
        <v>104</v>
      </c>
      <c r="C94" s="106">
        <v>5</v>
      </c>
      <c r="D94" s="108">
        <v>43584</v>
      </c>
      <c r="E94" s="109">
        <v>247.2</v>
      </c>
      <c r="F94" s="148">
        <f>91457+24250</f>
        <v>115707</v>
      </c>
      <c r="G94" s="149">
        <v>69424.2</v>
      </c>
      <c r="H94" s="150">
        <v>46282.8</v>
      </c>
      <c r="I94" s="38"/>
      <c r="J94" s="19"/>
      <c r="K94" s="32"/>
      <c r="L94" s="28"/>
      <c r="M94" s="98">
        <v>10000</v>
      </c>
      <c r="N94" s="147"/>
    </row>
    <row r="95" spans="1:14" ht="17.100000000000001" customHeight="1" x14ac:dyDescent="0.3">
      <c r="A95" s="159">
        <v>82</v>
      </c>
      <c r="B95" s="105" t="s">
        <v>101</v>
      </c>
      <c r="C95" s="106">
        <v>5</v>
      </c>
      <c r="D95" s="108">
        <v>43781</v>
      </c>
      <c r="E95" s="109">
        <v>247.2</v>
      </c>
      <c r="F95" s="148">
        <f>197844+8000</f>
        <v>205844</v>
      </c>
      <c r="G95" s="149">
        <v>123506.4</v>
      </c>
      <c r="H95" s="150">
        <v>82337.600000000006</v>
      </c>
      <c r="I95" s="38"/>
      <c r="J95" s="19"/>
      <c r="K95" s="32"/>
      <c r="L95" s="28"/>
      <c r="M95" s="97">
        <v>10000</v>
      </c>
      <c r="N95" s="147"/>
    </row>
    <row r="96" spans="1:14" ht="17.100000000000001" customHeight="1" thickBot="1" x14ac:dyDescent="0.35">
      <c r="A96" s="167">
        <v>83</v>
      </c>
      <c r="B96" s="168" t="s">
        <v>70</v>
      </c>
      <c r="C96" s="169">
        <v>5</v>
      </c>
      <c r="D96" s="122">
        <v>43782</v>
      </c>
      <c r="E96" s="170">
        <v>247.2</v>
      </c>
      <c r="F96" s="171">
        <f>138486.78+8000</f>
        <v>146486.78</v>
      </c>
      <c r="G96" s="172">
        <v>87892.067999999999</v>
      </c>
      <c r="H96" s="173">
        <v>58594.712</v>
      </c>
      <c r="I96" s="38"/>
      <c r="J96" s="19"/>
      <c r="K96" s="32"/>
      <c r="L96" s="28"/>
      <c r="M96" s="97">
        <v>10000</v>
      </c>
      <c r="N96" s="147"/>
    </row>
    <row r="97" spans="1:14" ht="17.100000000000001" customHeight="1" thickBot="1" x14ac:dyDescent="0.35">
      <c r="A97" s="189" t="s">
        <v>59</v>
      </c>
      <c r="B97" s="190"/>
      <c r="C97" s="190"/>
      <c r="D97" s="191"/>
      <c r="E97" s="181">
        <f>SUM(E14:E96)</f>
        <v>18326.880000000005</v>
      </c>
      <c r="F97" s="182">
        <f>SUM(F14:F96)</f>
        <v>18066086.710000005</v>
      </c>
      <c r="G97" s="183">
        <f>SUM(G14:G96)</f>
        <v>10839651.955999997</v>
      </c>
      <c r="H97" s="183">
        <f>SUM(H14:H96)</f>
        <v>7226434.7539999997</v>
      </c>
      <c r="I97" s="46"/>
      <c r="J97" s="47"/>
      <c r="K97" s="48"/>
      <c r="L97" s="28"/>
      <c r="M97" s="97">
        <v>10000</v>
      </c>
      <c r="N97" s="147"/>
    </row>
    <row r="98" spans="1:14" ht="21.75" customHeight="1" thickBot="1" x14ac:dyDescent="0.35">
      <c r="A98" s="225" t="s">
        <v>108</v>
      </c>
      <c r="B98" s="226"/>
      <c r="C98" s="226"/>
      <c r="D98" s="226"/>
      <c r="E98" s="226"/>
      <c r="F98" s="226"/>
      <c r="G98" s="226"/>
      <c r="H98" s="227"/>
      <c r="I98" s="4"/>
      <c r="J98" s="4"/>
      <c r="K98" s="4"/>
      <c r="L98" s="4"/>
      <c r="M98" s="123"/>
    </row>
    <row r="99" spans="1:14" ht="21.75" customHeight="1" x14ac:dyDescent="0.3">
      <c r="A99" s="174">
        <v>1</v>
      </c>
      <c r="B99" s="175" t="s">
        <v>109</v>
      </c>
      <c r="C99" s="176">
        <v>3</v>
      </c>
      <c r="D99" s="177">
        <v>44190</v>
      </c>
      <c r="E99" s="178">
        <v>99.8</v>
      </c>
      <c r="F99" s="179">
        <v>260000</v>
      </c>
      <c r="G99" s="180">
        <v>247000</v>
      </c>
      <c r="H99" s="185">
        <v>13000</v>
      </c>
      <c r="I99" s="4"/>
      <c r="J99" s="4"/>
      <c r="K99" s="4"/>
      <c r="L99" s="4"/>
      <c r="M99" s="123"/>
      <c r="N99" s="151"/>
    </row>
    <row r="100" spans="1:14" ht="16.5" customHeight="1" x14ac:dyDescent="0.3">
      <c r="A100" s="104">
        <v>2</v>
      </c>
      <c r="B100" s="124" t="s">
        <v>110</v>
      </c>
      <c r="C100" s="131">
        <v>1</v>
      </c>
      <c r="D100" s="129">
        <v>44190</v>
      </c>
      <c r="E100" s="135">
        <v>216.4</v>
      </c>
      <c r="F100" s="137">
        <v>250000</v>
      </c>
      <c r="G100" s="144">
        <v>237500</v>
      </c>
      <c r="H100" s="186">
        <v>12500</v>
      </c>
      <c r="I100" s="4"/>
      <c r="J100" s="4"/>
      <c r="K100" s="4"/>
      <c r="L100" s="4"/>
      <c r="M100" s="123"/>
      <c r="N100" s="151"/>
    </row>
    <row r="101" spans="1:14" ht="18" customHeight="1" x14ac:dyDescent="0.3">
      <c r="A101" s="104">
        <v>3</v>
      </c>
      <c r="B101" s="124" t="s">
        <v>111</v>
      </c>
      <c r="C101" s="131">
        <v>5</v>
      </c>
      <c r="D101" s="129">
        <v>44190</v>
      </c>
      <c r="E101" s="135">
        <v>243.9</v>
      </c>
      <c r="F101" s="137">
        <v>150690</v>
      </c>
      <c r="G101" s="144">
        <v>143155.5</v>
      </c>
      <c r="H101" s="186">
        <v>7534.5</v>
      </c>
      <c r="I101" s="4"/>
      <c r="J101" s="4"/>
      <c r="K101" s="4"/>
      <c r="L101" s="4"/>
      <c r="M101" s="123"/>
      <c r="N101" s="151"/>
    </row>
    <row r="102" spans="1:14" ht="17.25" customHeight="1" x14ac:dyDescent="0.3">
      <c r="A102" s="104">
        <v>4</v>
      </c>
      <c r="B102" s="125" t="s">
        <v>112</v>
      </c>
      <c r="C102" s="131">
        <v>3</v>
      </c>
      <c r="D102" s="129">
        <v>44190</v>
      </c>
      <c r="E102" s="136">
        <v>325.3</v>
      </c>
      <c r="F102" s="137">
        <v>147553</v>
      </c>
      <c r="G102" s="144">
        <v>140175.35</v>
      </c>
      <c r="H102" s="186">
        <v>7377.65</v>
      </c>
      <c r="I102" s="4"/>
      <c r="J102" s="4"/>
      <c r="K102" s="4"/>
      <c r="L102" s="4"/>
      <c r="M102" s="123"/>
      <c r="N102" s="151"/>
    </row>
    <row r="103" spans="1:14" ht="17.25" customHeight="1" x14ac:dyDescent="0.3">
      <c r="A103" s="104">
        <v>5</v>
      </c>
      <c r="B103" s="124" t="s">
        <v>37</v>
      </c>
      <c r="C103" s="131">
        <v>4</v>
      </c>
      <c r="D103" s="129">
        <v>44190</v>
      </c>
      <c r="E103" s="135">
        <v>471.55</v>
      </c>
      <c r="F103" s="137">
        <v>447310</v>
      </c>
      <c r="G103" s="144">
        <v>424944.5</v>
      </c>
      <c r="H103" s="186">
        <v>22365.5</v>
      </c>
      <c r="I103" s="4"/>
      <c r="J103" s="4"/>
      <c r="K103" s="4"/>
      <c r="L103" s="4"/>
      <c r="M103" s="123"/>
      <c r="N103" s="151"/>
    </row>
    <row r="104" spans="1:14" ht="18.75" customHeight="1" x14ac:dyDescent="0.3">
      <c r="A104" s="104">
        <v>6</v>
      </c>
      <c r="B104" s="124" t="s">
        <v>49</v>
      </c>
      <c r="C104" s="131">
        <v>5</v>
      </c>
      <c r="D104" s="129">
        <v>44190</v>
      </c>
      <c r="E104" s="135">
        <v>305.8</v>
      </c>
      <c r="F104" s="137">
        <v>300000</v>
      </c>
      <c r="G104" s="144">
        <v>285000</v>
      </c>
      <c r="H104" s="186">
        <v>15000</v>
      </c>
      <c r="I104" s="4"/>
      <c r="J104" s="4"/>
      <c r="K104" s="4"/>
      <c r="L104" s="4"/>
      <c r="M104" s="123"/>
      <c r="N104" s="151"/>
    </row>
    <row r="105" spans="1:14" ht="17.25" customHeight="1" x14ac:dyDescent="0.3">
      <c r="A105" s="104">
        <v>7</v>
      </c>
      <c r="B105" s="124" t="s">
        <v>12</v>
      </c>
      <c r="C105" s="131">
        <v>2</v>
      </c>
      <c r="D105" s="129">
        <v>44190</v>
      </c>
      <c r="E105" s="135">
        <v>90.2</v>
      </c>
      <c r="F105" s="137">
        <v>100000</v>
      </c>
      <c r="G105" s="144">
        <v>95000</v>
      </c>
      <c r="H105" s="186">
        <v>5000</v>
      </c>
      <c r="I105" s="4"/>
      <c r="J105" s="4"/>
      <c r="K105" s="4"/>
      <c r="L105" s="4"/>
      <c r="M105" s="123"/>
      <c r="N105" s="151"/>
    </row>
    <row r="106" spans="1:14" ht="19.5" customHeight="1" x14ac:dyDescent="0.3">
      <c r="A106" s="104">
        <v>8</v>
      </c>
      <c r="B106" s="124" t="s">
        <v>29</v>
      </c>
      <c r="C106" s="131">
        <v>3</v>
      </c>
      <c r="D106" s="129">
        <v>44190</v>
      </c>
      <c r="E106" s="135">
        <v>213.28</v>
      </c>
      <c r="F106" s="137">
        <v>280000</v>
      </c>
      <c r="G106" s="144">
        <v>266000</v>
      </c>
      <c r="H106" s="186">
        <v>14000</v>
      </c>
      <c r="I106" s="4"/>
      <c r="J106" s="4"/>
      <c r="K106" s="4"/>
      <c r="L106" s="4"/>
      <c r="M106" s="123"/>
      <c r="N106" s="151"/>
    </row>
    <row r="107" spans="1:14" ht="18.75" customHeight="1" x14ac:dyDescent="0.3">
      <c r="A107" s="104">
        <v>9</v>
      </c>
      <c r="B107" s="124" t="s">
        <v>33</v>
      </c>
      <c r="C107" s="131">
        <v>4</v>
      </c>
      <c r="D107" s="129">
        <v>44190</v>
      </c>
      <c r="E107" s="135">
        <v>309.7</v>
      </c>
      <c r="F107" s="140">
        <v>159401</v>
      </c>
      <c r="G107" s="144">
        <v>151430.95000000001</v>
      </c>
      <c r="H107" s="186">
        <v>7970.05</v>
      </c>
      <c r="I107" s="4"/>
      <c r="J107" s="4"/>
      <c r="K107" s="4"/>
      <c r="L107" s="4"/>
      <c r="M107" s="123"/>
      <c r="N107" s="151"/>
    </row>
    <row r="108" spans="1:14" ht="18" customHeight="1" x14ac:dyDescent="0.3">
      <c r="A108" s="104">
        <v>10</v>
      </c>
      <c r="B108" s="124" t="s">
        <v>113</v>
      </c>
      <c r="C108" s="131">
        <v>5</v>
      </c>
      <c r="D108" s="129">
        <v>44190</v>
      </c>
      <c r="E108" s="135">
        <v>108.4</v>
      </c>
      <c r="F108" s="137">
        <v>89402</v>
      </c>
      <c r="G108" s="144">
        <v>84931.9</v>
      </c>
      <c r="H108" s="186">
        <v>4470.1000000000004</v>
      </c>
      <c r="I108" s="4"/>
      <c r="J108" s="4"/>
      <c r="K108" s="4"/>
      <c r="L108" s="4"/>
      <c r="M108" s="123"/>
      <c r="N108" s="151"/>
    </row>
    <row r="109" spans="1:14" ht="18.75" customHeight="1" x14ac:dyDescent="0.3">
      <c r="A109" s="104">
        <v>11</v>
      </c>
      <c r="B109" s="124" t="s">
        <v>114</v>
      </c>
      <c r="C109" s="131">
        <v>5</v>
      </c>
      <c r="D109" s="129">
        <v>44190</v>
      </c>
      <c r="E109" s="136">
        <v>246</v>
      </c>
      <c r="F109" s="137">
        <v>150690</v>
      </c>
      <c r="G109" s="144">
        <v>143155.5</v>
      </c>
      <c r="H109" s="186">
        <v>7534.5</v>
      </c>
      <c r="I109" s="4"/>
      <c r="J109" s="4"/>
      <c r="K109" s="4"/>
      <c r="L109" s="4"/>
      <c r="M109" s="123"/>
      <c r="N109" s="151"/>
    </row>
    <row r="110" spans="1:14" ht="18.75" customHeight="1" x14ac:dyDescent="0.3">
      <c r="A110" s="104">
        <v>12</v>
      </c>
      <c r="B110" s="126" t="s">
        <v>85</v>
      </c>
      <c r="C110" s="127">
        <v>5</v>
      </c>
      <c r="D110" s="129">
        <v>44190</v>
      </c>
      <c r="E110" s="134">
        <v>98</v>
      </c>
      <c r="F110" s="137">
        <v>148295</v>
      </c>
      <c r="G110" s="144">
        <v>140880.25</v>
      </c>
      <c r="H110" s="186">
        <v>7414.75</v>
      </c>
      <c r="I110" s="4"/>
      <c r="J110" s="4"/>
      <c r="K110" s="4"/>
      <c r="L110" s="4"/>
      <c r="M110" s="123"/>
      <c r="N110" s="151"/>
    </row>
    <row r="111" spans="1:14" s="132" customFormat="1" ht="18.75" customHeight="1" x14ac:dyDescent="0.3">
      <c r="A111" s="146">
        <v>13</v>
      </c>
      <c r="B111" s="124" t="s">
        <v>115</v>
      </c>
      <c r="C111" s="128">
        <v>5</v>
      </c>
      <c r="D111" s="129">
        <v>44190</v>
      </c>
      <c r="E111" s="136">
        <v>96</v>
      </c>
      <c r="F111" s="137">
        <v>150690</v>
      </c>
      <c r="G111" s="188">
        <v>143155.5</v>
      </c>
      <c r="H111" s="186">
        <v>7534.5</v>
      </c>
      <c r="I111" s="133"/>
      <c r="J111" s="133"/>
      <c r="K111" s="133"/>
      <c r="L111" s="133"/>
      <c r="M111" s="138"/>
      <c r="N111" s="151"/>
    </row>
    <row r="112" spans="1:14" s="132" customFormat="1" ht="18.75" customHeight="1" x14ac:dyDescent="0.3">
      <c r="A112" s="146">
        <v>14</v>
      </c>
      <c r="B112" s="124" t="s">
        <v>116</v>
      </c>
      <c r="C112" s="131">
        <v>5</v>
      </c>
      <c r="D112" s="129">
        <v>44190</v>
      </c>
      <c r="E112" s="141">
        <v>115.1</v>
      </c>
      <c r="F112" s="142">
        <v>150690</v>
      </c>
      <c r="G112" s="188">
        <v>143155.5</v>
      </c>
      <c r="H112" s="186">
        <v>7534.5</v>
      </c>
      <c r="I112" s="133"/>
      <c r="J112" s="133"/>
      <c r="K112" s="133"/>
      <c r="L112" s="133"/>
      <c r="M112" s="138"/>
      <c r="N112" s="151"/>
    </row>
    <row r="113" spans="1:14" ht="7.5" customHeight="1" x14ac:dyDescent="0.3">
      <c r="A113" s="228">
        <v>15</v>
      </c>
      <c r="B113" s="229" t="s">
        <v>25</v>
      </c>
      <c r="C113" s="238">
        <v>3</v>
      </c>
      <c r="D113" s="239">
        <v>44190</v>
      </c>
      <c r="E113" s="192">
        <v>346.08</v>
      </c>
      <c r="F113" s="234">
        <v>750591.66</v>
      </c>
      <c r="G113" s="209">
        <v>420318.88</v>
      </c>
      <c r="H113" s="211">
        <v>22122.05</v>
      </c>
      <c r="I113" s="4"/>
      <c r="J113" s="4"/>
      <c r="K113" s="4"/>
      <c r="L113" s="4"/>
      <c r="M113" s="123"/>
      <c r="N113" s="151"/>
    </row>
    <row r="114" spans="1:14" ht="14.25" customHeight="1" x14ac:dyDescent="0.3">
      <c r="A114" s="193"/>
      <c r="B114" s="230"/>
      <c r="C114" s="193"/>
      <c r="D114" s="193"/>
      <c r="E114" s="193"/>
      <c r="F114" s="193"/>
      <c r="G114" s="210"/>
      <c r="H114" s="193"/>
      <c r="I114" s="4"/>
      <c r="J114" s="4"/>
      <c r="K114" s="4"/>
      <c r="L114" s="4"/>
      <c r="M114" s="123"/>
      <c r="N114" s="151"/>
    </row>
    <row r="115" spans="1:14" ht="21" customHeight="1" x14ac:dyDescent="0.3">
      <c r="A115" s="104"/>
      <c r="B115" s="139"/>
      <c r="C115" s="139"/>
      <c r="D115" s="139"/>
      <c r="E115" s="187"/>
      <c r="F115" s="187"/>
      <c r="G115" s="184"/>
      <c r="H115" s="184">
        <v>308150.73</v>
      </c>
      <c r="I115" s="4"/>
      <c r="J115" s="4"/>
      <c r="K115" s="4"/>
      <c r="L115" s="4"/>
      <c r="M115" s="123"/>
    </row>
    <row r="116" spans="1:14" s="132" customFormat="1" ht="27.75" customHeight="1" x14ac:dyDescent="0.3">
      <c r="A116" s="231" t="s">
        <v>117</v>
      </c>
      <c r="B116" s="232"/>
      <c r="C116" s="232"/>
      <c r="D116" s="233"/>
      <c r="E116" s="143">
        <f>SUM(E99:E114)</f>
        <v>3285.5099999999998</v>
      </c>
      <c r="F116" s="145">
        <f>SUM(F99:F114)</f>
        <v>3535312.66</v>
      </c>
      <c r="G116" s="145">
        <f>SUM(G99:G115)</f>
        <v>3065803.83</v>
      </c>
      <c r="H116" s="145">
        <f>SUM(H99:H115)</f>
        <v>469508.82999999996</v>
      </c>
      <c r="I116" s="133"/>
      <c r="J116" s="133"/>
      <c r="K116" s="133"/>
      <c r="L116" s="133"/>
      <c r="M116" s="138"/>
    </row>
    <row r="117" spans="1:14" ht="30.75" customHeight="1" thickBot="1" x14ac:dyDescent="0.35">
      <c r="A117" s="235" t="s">
        <v>60</v>
      </c>
      <c r="B117" s="236"/>
      <c r="C117" s="236"/>
      <c r="D117" s="237"/>
      <c r="E117" s="143">
        <f>E97+E116</f>
        <v>21612.390000000003</v>
      </c>
      <c r="F117" s="145">
        <f>F97+F116</f>
        <v>21601399.370000005</v>
      </c>
      <c r="G117" s="145">
        <f>G97+G116</f>
        <v>13905455.785999997</v>
      </c>
      <c r="H117" s="145">
        <f>H97+H116</f>
        <v>7695943.5839999998</v>
      </c>
      <c r="I117" s="4"/>
      <c r="J117" s="4"/>
      <c r="K117" s="4"/>
      <c r="L117" s="4"/>
      <c r="M117" s="96"/>
    </row>
    <row r="118" spans="1:14" ht="21" customHeight="1" x14ac:dyDescent="0.3">
      <c r="A118" s="5"/>
      <c r="B118" s="212"/>
      <c r="C118" s="212"/>
      <c r="D118" s="212"/>
      <c r="E118" s="212"/>
      <c r="F118" s="212"/>
      <c r="G118" s="212"/>
      <c r="H118" s="212"/>
      <c r="I118" s="212"/>
      <c r="J118" s="212"/>
      <c r="K118" s="212"/>
      <c r="L118" s="212"/>
      <c r="M118" s="65"/>
    </row>
    <row r="119" spans="1:14" x14ac:dyDescent="0.3">
      <c r="M119" s="65"/>
    </row>
    <row r="120" spans="1:14" x14ac:dyDescent="0.3">
      <c r="M120" s="65"/>
    </row>
    <row r="121" spans="1:14" x14ac:dyDescent="0.3">
      <c r="M121" s="65"/>
    </row>
    <row r="122" spans="1:14" x14ac:dyDescent="0.3">
      <c r="M122" s="65"/>
    </row>
    <row r="123" spans="1:14" x14ac:dyDescent="0.3">
      <c r="M123" s="65"/>
    </row>
    <row r="124" spans="1:14" x14ac:dyDescent="0.3">
      <c r="M124" s="65"/>
    </row>
    <row r="125" spans="1:14" x14ac:dyDescent="0.3">
      <c r="M125" s="65"/>
    </row>
    <row r="126" spans="1:14" x14ac:dyDescent="0.3">
      <c r="M126" s="65"/>
    </row>
    <row r="127" spans="1:14" x14ac:dyDescent="0.3">
      <c r="M127" s="65"/>
    </row>
    <row r="128" spans="1:14" x14ac:dyDescent="0.3">
      <c r="M128" s="65"/>
    </row>
    <row r="129" spans="13:13" x14ac:dyDescent="0.3">
      <c r="M129" s="65"/>
    </row>
  </sheetData>
  <mergeCells count="23">
    <mergeCell ref="B118:L118"/>
    <mergeCell ref="A7:L7"/>
    <mergeCell ref="A13:H13"/>
    <mergeCell ref="B8:B12"/>
    <mergeCell ref="D8:D12"/>
    <mergeCell ref="E8:E12"/>
    <mergeCell ref="C8:C12"/>
    <mergeCell ref="A8:A12"/>
    <mergeCell ref="A98:H98"/>
    <mergeCell ref="A113:A114"/>
    <mergeCell ref="B113:B114"/>
    <mergeCell ref="A116:D116"/>
    <mergeCell ref="F113:F114"/>
    <mergeCell ref="A117:D117"/>
    <mergeCell ref="C113:C114"/>
    <mergeCell ref="D113:D114"/>
    <mergeCell ref="A97:D97"/>
    <mergeCell ref="E113:E114"/>
    <mergeCell ref="F4:M4"/>
    <mergeCell ref="F2:M2"/>
    <mergeCell ref="F8:M11"/>
    <mergeCell ref="G113:G114"/>
    <mergeCell ref="H113:H114"/>
  </mergeCells>
  <pageMargins left="0.27559055118110237" right="0.23622047244094491" top="0.15748031496062992" bottom="0.15748031496062992" header="0.31496062992125984" footer="0.31496062992125984"/>
  <pageSetup paperSize="9" scale="83" fitToHeight="0" orientation="landscape" r:id="rId1"/>
  <rowBreaks count="2" manualBreakCount="2">
    <brk id="71" max="12" man="1"/>
    <brk id="112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Акты</vt:lpstr>
      <vt:lpstr>Акты!Область_печати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701_K7</dc:creator>
  <cp:lastModifiedBy>Широкая ОА</cp:lastModifiedBy>
  <cp:lastPrinted>2020-11-26T09:24:01Z</cp:lastPrinted>
  <dcterms:created xsi:type="dcterms:W3CDTF">2016-04-18T07:37:25Z</dcterms:created>
  <dcterms:modified xsi:type="dcterms:W3CDTF">2020-12-11T11:11:58Z</dcterms:modified>
</cp:coreProperties>
</file>